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Instructions" sheetId="1" r:id="rId1"/>
    <sheet name="Basic parameters" sheetId="2" r:id="rId2"/>
    <sheet name="TOTAL" sheetId="3" r:id="rId3"/>
    <sheet name="1 Personnel" sheetId="4" r:id="rId4"/>
    <sheet name="2 Maintenance" sheetId="5" r:id="rId5"/>
    <sheet name="3 Insurance" sheetId="6" r:id="rId6"/>
    <sheet name="4 Bills" sheetId="7" r:id="rId7"/>
    <sheet name="5 Stationary" sheetId="8" r:id="rId8"/>
    <sheet name="6 Consumables" sheetId="9" r:id="rId9"/>
    <sheet name="7 Communication" sheetId="10" r:id="rId10"/>
    <sheet name="8 Transport" sheetId="11" r:id="rId11"/>
    <sheet name="9 Office rent" sheetId="12" r:id="rId12"/>
    <sheet name="10 Local taxes" sheetId="13" r:id="rId13"/>
    <sheet name="11 Environment" sheetId="14" r:id="rId14"/>
  </sheets>
  <definedNames/>
  <calcPr fullCalcOnLoad="1"/>
</workbook>
</file>

<file path=xl/sharedStrings.xml><?xml version="1.0" encoding="utf-8"?>
<sst xmlns="http://schemas.openxmlformats.org/spreadsheetml/2006/main" count="381" uniqueCount="157">
  <si>
    <t>TOTAL</t>
  </si>
  <si>
    <t>Item</t>
  </si>
  <si>
    <t>Cost</t>
  </si>
  <si>
    <t>Percentage</t>
  </si>
  <si>
    <t>Insurance</t>
  </si>
  <si>
    <t>Local taxes</t>
  </si>
  <si>
    <t>PERSONNEL COST</t>
  </si>
  <si>
    <t>Personnel</t>
  </si>
  <si>
    <t>Electricity and water bills</t>
  </si>
  <si>
    <t>Office stationary</t>
  </si>
  <si>
    <t>Communication and promotional actions</t>
  </si>
  <si>
    <t>Transport</t>
  </si>
  <si>
    <t>Environmental management</t>
  </si>
  <si>
    <t>TOTAL OPERATION COSTS</t>
  </si>
  <si>
    <t>Cost (RWF/year)</t>
  </si>
  <si>
    <t>Accountant/cashier</t>
  </si>
  <si>
    <t>Technician/operator</t>
  </si>
  <si>
    <t>Engineer</t>
  </si>
  <si>
    <t>Adm. assistant</t>
  </si>
  <si>
    <t>Guard</t>
  </si>
  <si>
    <t>Cleaner</t>
  </si>
  <si>
    <t>Driver</t>
  </si>
  <si>
    <t>Position</t>
  </si>
  <si>
    <t>People</t>
  </si>
  <si>
    <t>Salary (RWF/m)</t>
  </si>
  <si>
    <t>Director</t>
  </si>
  <si>
    <t>min.</t>
  </si>
  <si>
    <t>max.</t>
  </si>
  <si>
    <t>Generation capacity</t>
  </si>
  <si>
    <t>kW</t>
  </si>
  <si>
    <t>Item insured</t>
  </si>
  <si>
    <t>Cover</t>
  </si>
  <si>
    <t xml:space="preserve">Sum insured and </t>
  </si>
  <si>
    <t>Premium</t>
  </si>
  <si>
    <t>Limit of indemnity</t>
  </si>
  <si>
    <t xml:space="preserve"> (Rwf)</t>
  </si>
  <si>
    <t>Annual net premium</t>
  </si>
  <si>
    <t>Administrative fees</t>
  </si>
  <si>
    <t>VAT</t>
  </si>
  <si>
    <t>Total annual premium</t>
  </si>
  <si>
    <t>Steps</t>
  </si>
  <si>
    <t>Step 1</t>
  </si>
  <si>
    <t>Step 2</t>
  </si>
  <si>
    <t>Step 3</t>
  </si>
  <si>
    <t>(kW)</t>
  </si>
  <si>
    <t>(RWF/year)</t>
  </si>
  <si>
    <t>MHPP</t>
  </si>
  <si>
    <t>Company</t>
  </si>
  <si>
    <t>RwF/year</t>
  </si>
  <si>
    <t>Comment</t>
  </si>
  <si>
    <t>MAINTENANCE COST</t>
  </si>
  <si>
    <t>INSURANCE COST</t>
  </si>
  <si>
    <t>BILL COST</t>
  </si>
  <si>
    <t>STATIONARY COST</t>
  </si>
  <si>
    <t>CONSUMABLES COST</t>
  </si>
  <si>
    <t>COMMUNICATION COST</t>
  </si>
  <si>
    <t>TRANSPORT COST</t>
  </si>
  <si>
    <t>LOCAL TAXES COST</t>
  </si>
  <si>
    <t>ENVIRONMENT COST</t>
  </si>
  <si>
    <t>Developer</t>
  </si>
  <si>
    <t>Off-grid</t>
  </si>
  <si>
    <t>No</t>
  </si>
  <si>
    <t>Consumables and spares (excluded office)</t>
  </si>
  <si>
    <t>Maintenance contract for power plant</t>
  </si>
  <si>
    <t>0.1% total project cost (information given by REPRO)</t>
  </si>
  <si>
    <t>Office rent</t>
  </si>
  <si>
    <t>OFFICE RENT COST</t>
  </si>
  <si>
    <t>Micro-Hydropower</t>
  </si>
  <si>
    <t>1. Civil works</t>
  </si>
  <si>
    <t xml:space="preserve">   explosion</t>
  </si>
  <si>
    <t xml:space="preserve">  property</t>
  </si>
  <si>
    <t>* Earthquake</t>
  </si>
  <si>
    <t>* Water damage</t>
  </si>
  <si>
    <t>* Storm and wind</t>
  </si>
  <si>
    <t>* Riot</t>
  </si>
  <si>
    <t>* Impact by motor vehicle</t>
  </si>
  <si>
    <t>* Impact by aircraft</t>
  </si>
  <si>
    <t>2. Machines</t>
  </si>
  <si>
    <t xml:space="preserve">* Electrical and electronic </t>
  </si>
  <si>
    <t xml:space="preserve">  damage</t>
  </si>
  <si>
    <t>3. Distribution lines</t>
  </si>
  <si>
    <t>Sales agents</t>
  </si>
  <si>
    <t>Average</t>
  </si>
  <si>
    <t>Total investment cost</t>
  </si>
  <si>
    <t>RwF</t>
  </si>
  <si>
    <t>Civil works</t>
  </si>
  <si>
    <t>Electromechanical system</t>
  </si>
  <si>
    <t>Distribution system</t>
  </si>
  <si>
    <t>Office equipment</t>
  </si>
  <si>
    <t>Available information</t>
  </si>
  <si>
    <t>Investment cost</t>
  </si>
  <si>
    <t>(% cost)</t>
  </si>
  <si>
    <t>RwF/kW</t>
  </si>
  <si>
    <t>Instructions</t>
  </si>
  <si>
    <t>Warning</t>
  </si>
  <si>
    <t>Basic parameters</t>
  </si>
  <si>
    <r>
      <t>Rate %</t>
    </r>
    <r>
      <rPr>
        <b/>
        <vertAlign val="subscript"/>
        <sz val="11"/>
        <rFont val="Arial"/>
        <family val="2"/>
      </rPr>
      <t>0</t>
    </r>
  </si>
  <si>
    <t>All risks insurance quotation (Calculation of method based on method provided by SONARWA s.a. on 04/08/2010)</t>
  </si>
  <si>
    <t>Price of the electricity sold</t>
  </si>
  <si>
    <t>RwF/kWh</t>
  </si>
  <si>
    <t>Utilisation factor</t>
  </si>
  <si>
    <t>Estimated annual production</t>
  </si>
  <si>
    <t>Self consumption rate</t>
  </si>
  <si>
    <t>Self consumption</t>
  </si>
  <si>
    <t>Electricity cost</t>
  </si>
  <si>
    <t>Water cost</t>
  </si>
  <si>
    <t>Water can be taken from the river for free</t>
  </si>
  <si>
    <t>kWh</t>
  </si>
  <si>
    <t>Estimation made for the business plan of Calimax in May 2010</t>
  </si>
  <si>
    <t>Estimation made for the business plan of REGREPOWER in June 2010</t>
  </si>
  <si>
    <t>Percentage over the cost of the main components</t>
  </si>
  <si>
    <t>Cost of the main components</t>
  </si>
  <si>
    <t>Estimation made at the beginning of the production period in May 2010</t>
  </si>
  <si>
    <t>400,000 are for the plant and 80,000 for the car. Estimation made at the beginning of the production period in May 2010</t>
  </si>
  <si>
    <t>This is for electricity. They take water from the river. Estimation made at the beginning of the production period in May 2010</t>
  </si>
  <si>
    <t>Rent of a car twice a month (2 x 80.000) plus fuel. Estimation made at the beginning of the production period in May 2010</t>
  </si>
  <si>
    <t>PSP Hydro</t>
  </si>
  <si>
    <t>Estimation made by PSP Hydro in August 2010</t>
  </si>
  <si>
    <t>Car insurance. Estimation made at the beginning of the production period in May 2009</t>
  </si>
  <si>
    <t>Cost proportional to REPRO's</t>
  </si>
  <si>
    <t>Not considered</t>
  </si>
  <si>
    <t>Percentage over investment cost</t>
  </si>
  <si>
    <t>Exchange rates</t>
  </si>
  <si>
    <t>RwF/€</t>
  </si>
  <si>
    <t>RwF/USD</t>
  </si>
  <si>
    <t>USD/kW</t>
  </si>
  <si>
    <t>€/kW</t>
  </si>
  <si>
    <t>Cells with figures in maroon colour contain collected information that can be use as a reference</t>
  </si>
  <si>
    <r>
      <t>Cells with figures in black colour are calculated automatically (</t>
    </r>
    <r>
      <rPr>
        <sz val="11"/>
        <color indexed="10"/>
        <rFont val="Calibri"/>
        <family val="2"/>
      </rPr>
      <t>do not touch them</t>
    </r>
    <r>
      <rPr>
        <sz val="11"/>
        <rFont val="Calibri"/>
        <family val="2"/>
      </rPr>
      <t>)</t>
    </r>
  </si>
  <si>
    <t>Only cells with figures in blue colour have to be filled</t>
  </si>
  <si>
    <r>
      <t>Cells with figures in green colour contain parameters as default (</t>
    </r>
    <r>
      <rPr>
        <sz val="11"/>
        <color indexed="12"/>
        <rFont val="Calibri"/>
        <family val="2"/>
      </rPr>
      <t>this parameters can be changed if necessary</t>
    </r>
    <r>
      <rPr>
        <sz val="11"/>
        <color indexed="50"/>
        <rFont val="Calibri"/>
        <family val="2"/>
      </rPr>
      <t>)</t>
    </r>
  </si>
  <si>
    <t>Cost of maintaining a car. Estimation made at the beginning of the production period in May 2010</t>
  </si>
  <si>
    <t>Premium for damage to neighbour's property</t>
  </si>
  <si>
    <t xml:space="preserve">* Fire, lightning and </t>
  </si>
  <si>
    <t>* Damage to neighbour's</t>
  </si>
  <si>
    <t>Consumption in site</t>
  </si>
  <si>
    <t>This calculation template is valid for plants between 100 and 3,000 kW only</t>
  </si>
  <si>
    <t>1.</t>
  </si>
  <si>
    <t xml:space="preserve">The Fichtner  report stated a cost of 4.28 RwF/kWh (49 USD/kW/year) for a 9 MW hydropower plant. </t>
  </si>
  <si>
    <t>MARGE  estimates that the maintenance cost for isolated micro hydro plants in Rwanda is less than 28.75 RwF/kWh (0.05 USD/kWh).</t>
  </si>
  <si>
    <t>2.</t>
  </si>
  <si>
    <t>References for comparison</t>
  </si>
  <si>
    <t>&gt; This can be found in Table 4-7, page 4-12 of: Fichtner (2009), ‘Actualisation Study of the Electricity Masterplan, Section 6, Economic &amp; Financial Assessment’; DECON, December 2009.</t>
  </si>
  <si>
    <t>&gt; Presentation of Robert J. van der Plas on ‘Maintenance Strategy for RET in Rwanda’ delivered on July 7th 2010 within the framework of the study: MARGE (2010), ‘Elaboration d’un plan stratégique national de maintenance des équipements de production et de distribution de l’énergie renouvelable’, BTC, July 2010.</t>
  </si>
  <si>
    <t>Starting and other project costs</t>
  </si>
  <si>
    <t>Company A</t>
  </si>
  <si>
    <t>Company B</t>
  </si>
  <si>
    <t>Company C</t>
  </si>
  <si>
    <t>Company D</t>
  </si>
  <si>
    <t>Company E</t>
  </si>
  <si>
    <t>Company F</t>
  </si>
  <si>
    <t>Salary (RWF/m) *</t>
  </si>
  <si>
    <t>* Data from real companies</t>
  </si>
  <si>
    <t>Company G</t>
  </si>
  <si>
    <t>Plant C</t>
  </si>
  <si>
    <t>Plant G</t>
  </si>
  <si>
    <t>Plant D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</si>
</sst>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* #,##0.00_ ;_ * \-#,##0.00_ ;_ * &quot;-&quot;??_ ;_ @_ "/>
    <numFmt numFmtId="189" formatCode="0.0%"/>
    <numFmt numFmtId="190" formatCode="0.0"/>
    <numFmt numFmtId="191" formatCode="0.0000"/>
    <numFmt numFmtId="192" formatCode="0.000"/>
    <numFmt numFmtId="193" formatCode="_(* #,##0.0_);_(* \(#,##0.0\);_(* &quot;-&quot;??_);_(@_)"/>
    <numFmt numFmtId="194" formatCode="_(* #,##0_);_(* \(#,##0\);_(* &quot;-&quot;??_);_(@_)"/>
    <numFmt numFmtId="195" formatCode="_ * #,##0.0_ ;_ * \-#,##0.0_ ;_ * &quot;-&quot;??_ ;_ @_ "/>
    <numFmt numFmtId="196" formatCode="_(* #,##0.000_);_(* \(#,##0.000\);_(* &quot;-&quot;??_);_(@_)"/>
    <numFmt numFmtId="197" formatCode="_ * #,##0_ ;_ * \-#,##0_ ;_ * &quot;-&quot;??_ ;_ @_ "/>
    <numFmt numFmtId="198" formatCode="#,##0.0"/>
    <numFmt numFmtId="199" formatCode="_-* #,##0.0_-;\-* #,##0.0_-;_-* &quot;-&quot;??_-;_-@_-"/>
    <numFmt numFmtId="200" formatCode="_-* #,##0_-;\-* #,##0_-;_-* &quot;-&quot;??_-;_-@_-"/>
    <numFmt numFmtId="201" formatCode="_(* #,##0.0000_);_(* \(#,##0.0000\);_(* &quot;-&quot;????_);_(@_)"/>
    <numFmt numFmtId="202" formatCode="0.000%"/>
    <numFmt numFmtId="203" formatCode="0.0000%"/>
    <numFmt numFmtId="204" formatCode="0.00000%"/>
    <numFmt numFmtId="205" formatCode="0.000000%"/>
    <numFmt numFmtId="206" formatCode="0.0000000%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sz val="11"/>
      <name val="Arial"/>
      <family val="2"/>
    </font>
    <font>
      <u val="single"/>
      <sz val="10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3" fontId="2" fillId="8" borderId="20" xfId="0" applyNumberFormat="1" applyFont="1" applyFill="1" applyBorder="1" applyAlignment="1">
      <alignment horizontal="right"/>
    </xf>
    <xf numFmtId="0" fontId="0" fillId="8" borderId="11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3" fillId="0" borderId="23" xfId="56" applyFont="1" applyBorder="1">
      <alignment/>
      <protection/>
    </xf>
    <xf numFmtId="3" fontId="0" fillId="0" borderId="0" xfId="0" applyNumberFormat="1" applyAlignment="1">
      <alignment/>
    </xf>
    <xf numFmtId="3" fontId="20" fillId="0" borderId="19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21" xfId="0" applyFont="1" applyBorder="1" applyAlignment="1">
      <alignment/>
    </xf>
    <xf numFmtId="0" fontId="0" fillId="0" borderId="24" xfId="0" applyFill="1" applyBorder="1" applyAlignment="1">
      <alignment/>
    </xf>
    <xf numFmtId="0" fontId="22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3" fontId="25" fillId="0" borderId="22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0" fontId="0" fillId="0" borderId="0" xfId="59" applyNumberFormat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/>
    </xf>
    <xf numFmtId="10" fontId="2" fillId="0" borderId="22" xfId="0" applyNumberFormat="1" applyFont="1" applyFill="1" applyBorder="1" applyAlignment="1">
      <alignment horizontal="center"/>
    </xf>
    <xf numFmtId="10" fontId="0" fillId="0" borderId="13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26" xfId="56" applyFont="1" applyBorder="1" applyAlignment="1">
      <alignment horizontal="center"/>
      <protection/>
    </xf>
    <xf numFmtId="0" fontId="28" fillId="0" borderId="27" xfId="56" applyFont="1" applyBorder="1" applyAlignment="1">
      <alignment horizontal="center"/>
      <protection/>
    </xf>
    <xf numFmtId="4" fontId="28" fillId="0" borderId="28" xfId="56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8" fillId="0" borderId="23" xfId="56" applyFont="1" applyBorder="1" applyAlignment="1">
      <alignment horizontal="center"/>
      <protection/>
    </xf>
    <xf numFmtId="0" fontId="28" fillId="0" borderId="29" xfId="56" applyFont="1" applyBorder="1" applyAlignment="1">
      <alignment horizontal="center"/>
      <protection/>
    </xf>
    <xf numFmtId="4" fontId="28" fillId="0" borderId="30" xfId="56" applyNumberFormat="1" applyFont="1" applyBorder="1" applyAlignment="1">
      <alignment horizontal="center"/>
      <protection/>
    </xf>
    <xf numFmtId="0" fontId="28" fillId="0" borderId="31" xfId="56" applyFont="1" applyBorder="1" applyAlignment="1">
      <alignment horizontal="center"/>
      <protection/>
    </xf>
    <xf numFmtId="0" fontId="28" fillId="0" borderId="32" xfId="56" applyFont="1" applyBorder="1" applyAlignment="1">
      <alignment horizontal="center"/>
      <protection/>
    </xf>
    <xf numFmtId="0" fontId="28" fillId="0" borderId="33" xfId="56" applyFont="1" applyBorder="1" applyAlignment="1">
      <alignment horizontal="center"/>
      <protection/>
    </xf>
    <xf numFmtId="0" fontId="28" fillId="0" borderId="29" xfId="56" applyFont="1" applyBorder="1" applyAlignment="1">
      <alignment horizontal="left"/>
      <protection/>
    </xf>
    <xf numFmtId="0" fontId="23" fillId="0" borderId="26" xfId="56" applyFont="1" applyBorder="1">
      <alignment/>
      <protection/>
    </xf>
    <xf numFmtId="0" fontId="23" fillId="0" borderId="28" xfId="56" applyFont="1" applyBorder="1">
      <alignment/>
      <protection/>
    </xf>
    <xf numFmtId="0" fontId="0" fillId="0" borderId="0" xfId="0" applyFont="1" applyAlignment="1">
      <alignment/>
    </xf>
    <xf numFmtId="3" fontId="23" fillId="0" borderId="23" xfId="56" applyNumberFormat="1" applyFont="1" applyBorder="1">
      <alignment/>
      <protection/>
    </xf>
    <xf numFmtId="4" fontId="23" fillId="0" borderId="30" xfId="56" applyNumberFormat="1" applyFont="1" applyBorder="1">
      <alignment/>
      <protection/>
    </xf>
    <xf numFmtId="3" fontId="23" fillId="0" borderId="30" xfId="56" applyNumberFormat="1" applyFont="1" applyBorder="1">
      <alignment/>
      <protection/>
    </xf>
    <xf numFmtId="0" fontId="23" fillId="0" borderId="29" xfId="56" applyFont="1" applyBorder="1">
      <alignment/>
      <protection/>
    </xf>
    <xf numFmtId="0" fontId="23" fillId="0" borderId="30" xfId="56" applyFont="1" applyBorder="1">
      <alignment/>
      <protection/>
    </xf>
    <xf numFmtId="4" fontId="23" fillId="0" borderId="30" xfId="56" applyNumberFormat="1" applyFont="1" applyBorder="1">
      <alignment/>
      <protection/>
    </xf>
    <xf numFmtId="0" fontId="23" fillId="0" borderId="29" xfId="56" applyFont="1" applyBorder="1">
      <alignment/>
      <protection/>
    </xf>
    <xf numFmtId="3" fontId="23" fillId="0" borderId="30" xfId="56" applyNumberFormat="1" applyFont="1" applyBorder="1">
      <alignment/>
      <protection/>
    </xf>
    <xf numFmtId="0" fontId="28" fillId="0" borderId="29" xfId="56" applyFont="1" applyBorder="1">
      <alignment/>
      <protection/>
    </xf>
    <xf numFmtId="0" fontId="23" fillId="0" borderId="32" xfId="56" applyFont="1" applyBorder="1">
      <alignment/>
      <protection/>
    </xf>
    <xf numFmtId="0" fontId="23" fillId="0" borderId="31" xfId="56" applyFont="1" applyBorder="1">
      <alignment/>
      <protection/>
    </xf>
    <xf numFmtId="3" fontId="23" fillId="0" borderId="31" xfId="56" applyNumberFormat="1" applyFont="1" applyBorder="1">
      <alignment/>
      <protection/>
    </xf>
    <xf numFmtId="4" fontId="23" fillId="0" borderId="33" xfId="56" applyNumberFormat="1" applyFont="1" applyBorder="1">
      <alignment/>
      <protection/>
    </xf>
    <xf numFmtId="3" fontId="23" fillId="0" borderId="33" xfId="56" applyNumberFormat="1" applyFont="1" applyBorder="1">
      <alignment/>
      <protection/>
    </xf>
    <xf numFmtId="3" fontId="28" fillId="0" borderId="0" xfId="56" applyNumberFormat="1" applyFont="1" applyBorder="1">
      <alignment/>
      <protection/>
    </xf>
    <xf numFmtId="4" fontId="28" fillId="0" borderId="0" xfId="56" applyNumberFormat="1" applyFont="1" applyBorder="1">
      <alignment/>
      <protection/>
    </xf>
    <xf numFmtId="3" fontId="28" fillId="0" borderId="23" xfId="56" applyNumberFormat="1" applyFont="1" applyBorder="1">
      <alignment/>
      <protection/>
    </xf>
    <xf numFmtId="0" fontId="28" fillId="0" borderId="32" xfId="56" applyFont="1" applyBorder="1">
      <alignment/>
      <protection/>
    </xf>
    <xf numFmtId="0" fontId="28" fillId="0" borderId="34" xfId="56" applyFont="1" applyBorder="1">
      <alignment/>
      <protection/>
    </xf>
    <xf numFmtId="3" fontId="28" fillId="0" borderId="34" xfId="56" applyNumberFormat="1" applyFont="1" applyBorder="1">
      <alignment/>
      <protection/>
    </xf>
    <xf numFmtId="4" fontId="28" fillId="0" borderId="34" xfId="56" applyNumberFormat="1" applyFont="1" applyBorder="1">
      <alignment/>
      <protection/>
    </xf>
    <xf numFmtId="3" fontId="28" fillId="0" borderId="31" xfId="56" applyNumberFormat="1" applyFont="1" applyBorder="1">
      <alignment/>
      <protection/>
    </xf>
    <xf numFmtId="0" fontId="23" fillId="0" borderId="34" xfId="56" applyFont="1" applyBorder="1">
      <alignment/>
      <protection/>
    </xf>
    <xf numFmtId="3" fontId="23" fillId="0" borderId="34" xfId="56" applyNumberFormat="1" applyFont="1" applyBorder="1">
      <alignment/>
      <protection/>
    </xf>
    <xf numFmtId="4" fontId="23" fillId="0" borderId="34" xfId="56" applyNumberFormat="1" applyFont="1" applyBorder="1">
      <alignment/>
      <protection/>
    </xf>
    <xf numFmtId="3" fontId="23" fillId="0" borderId="31" xfId="56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198" fontId="30" fillId="0" borderId="19" xfId="0" applyNumberFormat="1" applyFont="1" applyFill="1" applyBorder="1" applyAlignment="1">
      <alignment/>
    </xf>
    <xf numFmtId="198" fontId="30" fillId="0" borderId="17" xfId="0" applyNumberFormat="1" applyFont="1" applyFill="1" applyBorder="1" applyAlignment="1">
      <alignment/>
    </xf>
    <xf numFmtId="189" fontId="30" fillId="0" borderId="24" xfId="59" applyNumberFormat="1" applyFont="1" applyFill="1" applyBorder="1" applyAlignment="1">
      <alignment/>
    </xf>
    <xf numFmtId="189" fontId="30" fillId="0" borderId="0" xfId="59" applyNumberFormat="1" applyFont="1" applyFill="1" applyBorder="1" applyAlignment="1">
      <alignment/>
    </xf>
    <xf numFmtId="189" fontId="30" fillId="0" borderId="25" xfId="59" applyNumberFormat="1" applyFont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0" fontId="30" fillId="0" borderId="0" xfId="59" applyNumberFormat="1" applyFont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2" fontId="3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20" fillId="0" borderId="0" xfId="0" applyNumberFormat="1" applyFont="1" applyAlignment="1">
      <alignment/>
    </xf>
    <xf numFmtId="202" fontId="30" fillId="0" borderId="0" xfId="59" applyNumberFormat="1" applyFont="1" applyAlignment="1">
      <alignment horizontal="left"/>
    </xf>
    <xf numFmtId="198" fontId="20" fillId="0" borderId="19" xfId="0" applyNumberFormat="1" applyFont="1" applyFill="1" applyBorder="1" applyAlignment="1">
      <alignment/>
    </xf>
    <xf numFmtId="198" fontId="20" fillId="0" borderId="17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19" fillId="22" borderId="0" xfId="0" applyFont="1" applyFill="1" applyAlignment="1">
      <alignment/>
    </xf>
    <xf numFmtId="0" fontId="31" fillId="22" borderId="0" xfId="0" applyFont="1" applyFill="1" applyAlignment="1">
      <alignment/>
    </xf>
    <xf numFmtId="3" fontId="0" fillId="8" borderId="0" xfId="0" applyNumberFormat="1" applyFill="1" applyAlignment="1">
      <alignment/>
    </xf>
    <xf numFmtId="10" fontId="0" fillId="8" borderId="0" xfId="59" applyNumberFormat="1" applyFill="1" applyAlignment="1">
      <alignment/>
    </xf>
    <xf numFmtId="49" fontId="0" fillId="0" borderId="0" xfId="0" applyNumberForma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8" fillId="0" borderId="27" xfId="56" applyFont="1" applyBorder="1" applyAlignment="1">
      <alignment horizontal="center"/>
      <protection/>
    </xf>
    <xf numFmtId="0" fontId="28" fillId="0" borderId="35" xfId="56" applyFont="1" applyBorder="1" applyAlignment="1">
      <alignment horizontal="center"/>
      <protection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rmal_InsuranceQuotatio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1" sqref="A1"/>
    </sheetView>
  </sheetViews>
  <sheetFormatPr defaultColWidth="27.57421875" defaultRowHeight="15"/>
  <cols>
    <col min="1" max="1" width="6.00390625" style="0" customWidth="1"/>
    <col min="2" max="2" width="3.140625" style="0" customWidth="1"/>
    <col min="3" max="3" width="20.28125" style="0" customWidth="1"/>
    <col min="4" max="4" width="16.00390625" style="0" customWidth="1"/>
    <col min="5" max="5" width="15.00390625" style="0" customWidth="1"/>
    <col min="6" max="7" width="8.8515625" style="0" customWidth="1"/>
    <col min="8" max="8" width="9.421875" style="0" customWidth="1"/>
    <col min="9" max="9" width="10.7109375" style="0" customWidth="1"/>
  </cols>
  <sheetData>
    <row r="2" ht="15">
      <c r="B2" s="75" t="s">
        <v>94</v>
      </c>
    </row>
    <row r="4" spans="3:7" ht="15">
      <c r="C4" s="152" t="s">
        <v>136</v>
      </c>
      <c r="D4" s="151"/>
      <c r="E4" s="151"/>
      <c r="F4" s="151"/>
      <c r="G4" s="151"/>
    </row>
    <row r="7" spans="2:4" ht="15">
      <c r="B7" s="75" t="s">
        <v>93</v>
      </c>
      <c r="C7" s="13"/>
      <c r="D7" s="7"/>
    </row>
    <row r="8" spans="2:4" ht="15">
      <c r="B8" s="13"/>
      <c r="C8" s="13"/>
      <c r="D8" s="7"/>
    </row>
    <row r="9" spans="2:4" ht="15">
      <c r="B9" s="13"/>
      <c r="C9" s="72" t="s">
        <v>129</v>
      </c>
      <c r="D9" s="7"/>
    </row>
    <row r="10" spans="2:4" ht="15">
      <c r="B10" s="13"/>
      <c r="C10" s="73" t="s">
        <v>128</v>
      </c>
      <c r="D10" s="7"/>
    </row>
    <row r="11" spans="2:4" ht="15">
      <c r="B11" s="13"/>
      <c r="C11" s="74" t="s">
        <v>127</v>
      </c>
      <c r="D11" s="7"/>
    </row>
    <row r="12" spans="2:4" ht="15">
      <c r="B12" s="13"/>
      <c r="C12" s="129" t="s">
        <v>130</v>
      </c>
      <c r="D12" s="7"/>
    </row>
    <row r="13" spans="2:4" ht="15">
      <c r="B13" s="13"/>
      <c r="C13" s="13"/>
      <c r="D13" s="7"/>
    </row>
    <row r="15" spans="1:2" ht="15">
      <c r="A15" s="7"/>
      <c r="B15" s="75" t="s">
        <v>141</v>
      </c>
    </row>
    <row r="16" ht="14.25">
      <c r="A16" s="7"/>
    </row>
    <row r="17" spans="1:3" ht="17.25" customHeight="1">
      <c r="A17" s="7"/>
      <c r="B17" s="155" t="s">
        <v>137</v>
      </c>
      <c r="C17" t="s">
        <v>138</v>
      </c>
    </row>
    <row r="18" spans="1:3" ht="14.25">
      <c r="A18" s="7"/>
      <c r="C18" t="s">
        <v>142</v>
      </c>
    </row>
    <row r="19" spans="1:3" ht="14.25">
      <c r="A19" s="7"/>
      <c r="B19" s="155" t="s">
        <v>140</v>
      </c>
      <c r="C19" t="s">
        <v>139</v>
      </c>
    </row>
    <row r="20" spans="1:3" ht="14.25">
      <c r="A20" s="7"/>
      <c r="C20" t="s">
        <v>143</v>
      </c>
    </row>
    <row r="21" ht="14.25">
      <c r="A21" s="7"/>
    </row>
  </sheetData>
  <sheetProtection/>
  <printOptions/>
  <pageMargins left="0.7" right="0.56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3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3.28125" style="0" customWidth="1"/>
    <col min="6" max="6" width="4.421875" style="0" customWidth="1"/>
    <col min="7" max="7" width="21.00390625" style="0" customWidth="1"/>
  </cols>
  <sheetData>
    <row r="2" spans="2:5" ht="15">
      <c r="B2" s="1" t="s">
        <v>55</v>
      </c>
      <c r="C2" s="34"/>
      <c r="D2" s="35">
        <f>IF('Basic parameters'!D4&gt;'Basic parameters'!D19,N16,IF('Basic parameters'!D4&gt;'Basic parameters'!D18,L16,J16))</f>
        <v>840000</v>
      </c>
      <c r="E2" s="36" t="s">
        <v>45</v>
      </c>
    </row>
    <row r="5" spans="6:14" ht="15">
      <c r="F5" s="172" t="s">
        <v>22</v>
      </c>
      <c r="G5" s="173"/>
      <c r="H5" s="170" t="s">
        <v>24</v>
      </c>
      <c r="I5" s="167" t="str">
        <f>'Basic parameters'!C17</f>
        <v>Step 1</v>
      </c>
      <c r="J5" s="169"/>
      <c r="K5" s="167" t="str">
        <f>'Basic parameters'!C18</f>
        <v>Step 2</v>
      </c>
      <c r="L5" s="169"/>
      <c r="M5" s="167" t="str">
        <f>'Basic parameters'!C19</f>
        <v>Step 3</v>
      </c>
      <c r="N5" s="169"/>
    </row>
    <row r="6" spans="6:14" ht="30">
      <c r="F6" s="174"/>
      <c r="G6" s="175"/>
      <c r="H6" s="171"/>
      <c r="I6" s="12" t="s">
        <v>23</v>
      </c>
      <c r="J6" s="17" t="s">
        <v>14</v>
      </c>
      <c r="K6" s="12" t="s">
        <v>23</v>
      </c>
      <c r="L6" s="17" t="s">
        <v>14</v>
      </c>
      <c r="M6" s="12" t="s">
        <v>23</v>
      </c>
      <c r="N6" s="17" t="s">
        <v>14</v>
      </c>
    </row>
    <row r="7" spans="6:14" ht="14.25">
      <c r="F7" s="10"/>
      <c r="G7" s="4" t="s">
        <v>25</v>
      </c>
      <c r="H7" s="146">
        <v>60000</v>
      </c>
      <c r="I7" s="144">
        <f>'1 Personnel'!E6</f>
        <v>0</v>
      </c>
      <c r="J7" s="18">
        <f aca="true" t="shared" si="0" ref="J7:J15">H7*I7*12</f>
        <v>0</v>
      </c>
      <c r="K7" s="144">
        <f>'1 Personnel'!G6</f>
        <v>1</v>
      </c>
      <c r="L7" s="18">
        <f aca="true" t="shared" si="1" ref="L7:L15">H7*K7*12</f>
        <v>720000</v>
      </c>
      <c r="M7" s="144">
        <f>'1 Personnel'!I6</f>
        <v>1</v>
      </c>
      <c r="N7" s="18">
        <f aca="true" t="shared" si="2" ref="N7:N15">H7*M7*12</f>
        <v>720000</v>
      </c>
    </row>
    <row r="8" spans="6:14" ht="14.25">
      <c r="F8" s="10"/>
      <c r="G8" s="4" t="s">
        <v>17</v>
      </c>
      <c r="H8" s="146">
        <v>35000</v>
      </c>
      <c r="I8" s="144">
        <f>'1 Personnel'!E7</f>
        <v>1</v>
      </c>
      <c r="J8" s="18">
        <f t="shared" si="0"/>
        <v>420000</v>
      </c>
      <c r="K8" s="144">
        <f>'1 Personnel'!G7</f>
        <v>0</v>
      </c>
      <c r="L8" s="18">
        <f t="shared" si="1"/>
        <v>0</v>
      </c>
      <c r="M8" s="144">
        <f>'1 Personnel'!I7</f>
        <v>2</v>
      </c>
      <c r="N8" s="18">
        <f t="shared" si="2"/>
        <v>840000</v>
      </c>
    </row>
    <row r="9" spans="6:14" ht="14.25">
      <c r="F9" s="3"/>
      <c r="G9" s="4" t="s">
        <v>16</v>
      </c>
      <c r="H9" s="146">
        <v>10000</v>
      </c>
      <c r="I9" s="144">
        <f>IF('1 Personnel'!E8=0,0,1)</f>
        <v>1</v>
      </c>
      <c r="J9" s="18">
        <f t="shared" si="0"/>
        <v>120000</v>
      </c>
      <c r="K9" s="144">
        <f>IF('1 Personnel'!G8=0,0,1)</f>
        <v>1</v>
      </c>
      <c r="L9" s="18">
        <f t="shared" si="1"/>
        <v>120000</v>
      </c>
      <c r="M9" s="144">
        <f>IF('1 Personnel'!I8=0,0,1)</f>
        <v>1</v>
      </c>
      <c r="N9" s="18">
        <f t="shared" si="2"/>
        <v>120000</v>
      </c>
    </row>
    <row r="10" spans="6:14" ht="14.25">
      <c r="F10" s="3"/>
      <c r="G10" s="4" t="s">
        <v>15</v>
      </c>
      <c r="H10" s="146">
        <v>10000</v>
      </c>
      <c r="I10" s="144">
        <f>'1 Personnel'!E9</f>
        <v>0.5</v>
      </c>
      <c r="J10" s="18">
        <f t="shared" si="0"/>
        <v>60000</v>
      </c>
      <c r="K10" s="144">
        <f>'1 Personnel'!G9</f>
        <v>1</v>
      </c>
      <c r="L10" s="18">
        <f t="shared" si="1"/>
        <v>120000</v>
      </c>
      <c r="M10" s="144">
        <f>'1 Personnel'!I9</f>
        <v>1</v>
      </c>
      <c r="N10" s="18">
        <f t="shared" si="2"/>
        <v>120000</v>
      </c>
    </row>
    <row r="11" spans="6:14" ht="14.25">
      <c r="F11" s="3"/>
      <c r="G11" s="4" t="s">
        <v>18</v>
      </c>
      <c r="H11" s="146">
        <v>2500</v>
      </c>
      <c r="I11" s="144">
        <f>'1 Personnel'!E10</f>
        <v>0.5</v>
      </c>
      <c r="J11" s="18">
        <f t="shared" si="0"/>
        <v>15000</v>
      </c>
      <c r="K11" s="144">
        <f>'1 Personnel'!G10</f>
        <v>1</v>
      </c>
      <c r="L11" s="18">
        <f t="shared" si="1"/>
        <v>30000</v>
      </c>
      <c r="M11" s="144">
        <f>'1 Personnel'!I10</f>
        <v>1</v>
      </c>
      <c r="N11" s="18">
        <f t="shared" si="2"/>
        <v>30000</v>
      </c>
    </row>
    <row r="12" spans="6:14" ht="14.25">
      <c r="F12" s="3"/>
      <c r="G12" s="4" t="s">
        <v>81</v>
      </c>
      <c r="H12" s="146">
        <v>10000</v>
      </c>
      <c r="I12" s="144">
        <f>'1 Personnel'!E11</f>
        <v>1.5</v>
      </c>
      <c r="J12" s="18">
        <f>H12*I12*12</f>
        <v>180000</v>
      </c>
      <c r="K12" s="144">
        <f>'1 Personnel'!G11</f>
        <v>0</v>
      </c>
      <c r="L12" s="18">
        <f>H12*K12*12</f>
        <v>0</v>
      </c>
      <c r="M12" s="144">
        <f>'1 Personnel'!I11</f>
        <v>0</v>
      </c>
      <c r="N12" s="18">
        <f>H12*M12*12</f>
        <v>0</v>
      </c>
    </row>
    <row r="13" spans="6:14" ht="14.25">
      <c r="F13" s="3"/>
      <c r="G13" s="4" t="s">
        <v>19</v>
      </c>
      <c r="H13" s="146">
        <v>2500</v>
      </c>
      <c r="I13" s="144">
        <f>'1 Personnel'!E12</f>
        <v>1.5</v>
      </c>
      <c r="J13" s="18">
        <f t="shared" si="0"/>
        <v>45000</v>
      </c>
      <c r="K13" s="144">
        <f>'1 Personnel'!G12</f>
        <v>3</v>
      </c>
      <c r="L13" s="18">
        <f t="shared" si="1"/>
        <v>90000</v>
      </c>
      <c r="M13" s="144">
        <f>'1 Personnel'!I12</f>
        <v>4</v>
      </c>
      <c r="N13" s="18">
        <f t="shared" si="2"/>
        <v>120000</v>
      </c>
    </row>
    <row r="14" spans="6:14" ht="14.25">
      <c r="F14" s="3"/>
      <c r="G14" s="4" t="s">
        <v>20</v>
      </c>
      <c r="H14" s="146">
        <f>Q30</f>
        <v>0</v>
      </c>
      <c r="I14" s="144">
        <f>'1 Personnel'!E13</f>
        <v>0</v>
      </c>
      <c r="J14" s="18">
        <f t="shared" si="0"/>
        <v>0</v>
      </c>
      <c r="K14" s="144">
        <f>'1 Personnel'!G13</f>
        <v>0</v>
      </c>
      <c r="L14" s="18">
        <f t="shared" si="1"/>
        <v>0</v>
      </c>
      <c r="M14" s="144">
        <f>'1 Personnel'!I13</f>
        <v>0</v>
      </c>
      <c r="N14" s="18">
        <f t="shared" si="2"/>
        <v>0</v>
      </c>
    </row>
    <row r="15" spans="6:14" ht="14.25">
      <c r="F15" s="9"/>
      <c r="G15" s="5" t="s">
        <v>21</v>
      </c>
      <c r="H15" s="147">
        <v>2500</v>
      </c>
      <c r="I15" s="145">
        <f>'1 Personnel'!E14</f>
        <v>0</v>
      </c>
      <c r="J15" s="18">
        <f t="shared" si="0"/>
        <v>0</v>
      </c>
      <c r="K15" s="145">
        <f>'1 Personnel'!G14</f>
        <v>0</v>
      </c>
      <c r="L15" s="18">
        <f t="shared" si="1"/>
        <v>0</v>
      </c>
      <c r="M15" s="145">
        <f>'1 Personnel'!I14</f>
        <v>0</v>
      </c>
      <c r="N15" s="18">
        <f t="shared" si="2"/>
        <v>0</v>
      </c>
    </row>
    <row r="16" spans="6:14" ht="15">
      <c r="F16" s="1" t="s">
        <v>0</v>
      </c>
      <c r="G16" s="2"/>
      <c r="H16" s="8"/>
      <c r="I16" s="8"/>
      <c r="J16" s="19">
        <f>SUM(J7:J15)</f>
        <v>840000</v>
      </c>
      <c r="K16" s="8"/>
      <c r="L16" s="19">
        <f>SUM(L7:L15)</f>
        <v>1080000</v>
      </c>
      <c r="M16" s="8"/>
      <c r="N16" s="19">
        <f>SUM(N7:N15)</f>
        <v>1950000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300000</v>
      </c>
      <c r="F21" s="58" t="s">
        <v>112</v>
      </c>
    </row>
    <row r="22" spans="2:6" ht="14.25">
      <c r="B22" t="s">
        <v>155</v>
      </c>
      <c r="C22" s="38" t="s">
        <v>153</v>
      </c>
      <c r="D22" s="56">
        <v>90</v>
      </c>
      <c r="E22" s="57">
        <v>514725</v>
      </c>
      <c r="F22" s="58" t="s">
        <v>108</v>
      </c>
    </row>
    <row r="23" spans="2:6" ht="14.25">
      <c r="B23" t="s">
        <v>156</v>
      </c>
      <c r="C23" s="38" t="s">
        <v>148</v>
      </c>
      <c r="D23" s="56">
        <v>115</v>
      </c>
      <c r="E23" s="57">
        <v>1500000</v>
      </c>
      <c r="F23" s="58" t="s">
        <v>109</v>
      </c>
    </row>
  </sheetData>
  <mergeCells count="5">
    <mergeCell ref="M5:N5"/>
    <mergeCell ref="F5:G6"/>
    <mergeCell ref="H5:H6"/>
    <mergeCell ref="I5:J5"/>
    <mergeCell ref="K5:L5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6" max="6" width="26.57421875" style="0" customWidth="1"/>
  </cols>
  <sheetData>
    <row r="2" spans="2:5" ht="15">
      <c r="B2" s="1" t="s">
        <v>56</v>
      </c>
      <c r="C2" s="34"/>
      <c r="D2" s="35">
        <f>IF('Basic parameters'!D4&gt;'Basic parameters'!D19,C8,IF('Basic parameters'!D4&gt;'Basic parameters'!D18,C7,C6))</f>
        <v>1440000</v>
      </c>
      <c r="E2" s="36" t="s">
        <v>45</v>
      </c>
    </row>
    <row r="6" spans="2:4" ht="14.25">
      <c r="B6" s="125" t="s">
        <v>41</v>
      </c>
      <c r="C6" s="135">
        <f>C7*0.6</f>
        <v>1440000</v>
      </c>
      <c r="D6" s="126" t="s">
        <v>84</v>
      </c>
    </row>
    <row r="7" spans="2:4" ht="14.25">
      <c r="B7" s="127" t="s">
        <v>42</v>
      </c>
      <c r="C7" s="135">
        <v>2400000</v>
      </c>
      <c r="D7" s="126" t="s">
        <v>84</v>
      </c>
    </row>
    <row r="8" spans="2:4" ht="14.25">
      <c r="B8" s="127" t="s">
        <v>43</v>
      </c>
      <c r="C8" s="135">
        <f>C7*2</f>
        <v>4800000</v>
      </c>
      <c r="D8" s="126" t="s">
        <v>84</v>
      </c>
    </row>
    <row r="18" ht="15">
      <c r="B18" s="6" t="s">
        <v>89</v>
      </c>
    </row>
    <row r="20" spans="2:6" ht="14.25">
      <c r="B20" s="38" t="s">
        <v>46</v>
      </c>
      <c r="C20" s="38" t="s">
        <v>59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2400000</v>
      </c>
      <c r="F21" s="58" t="s">
        <v>115</v>
      </c>
    </row>
    <row r="22" spans="2:6" ht="14.25">
      <c r="B22" t="s">
        <v>154</v>
      </c>
      <c r="C22" s="38" t="s">
        <v>147</v>
      </c>
      <c r="D22" s="56">
        <v>96</v>
      </c>
      <c r="E22" s="57">
        <v>170000</v>
      </c>
      <c r="F22" s="58" t="s">
        <v>131</v>
      </c>
    </row>
    <row r="23" spans="2:7" ht="14.25">
      <c r="B23" t="s">
        <v>154</v>
      </c>
      <c r="C23" s="38" t="s">
        <v>147</v>
      </c>
      <c r="D23" s="56">
        <v>96</v>
      </c>
      <c r="E23" s="57">
        <v>80000</v>
      </c>
      <c r="F23" s="58" t="s">
        <v>118</v>
      </c>
      <c r="G23" s="58"/>
    </row>
    <row r="24" spans="3:6" ht="14.25">
      <c r="C24" s="38" t="s">
        <v>116</v>
      </c>
      <c r="D24" s="56"/>
      <c r="E24" s="57">
        <f>260*770*12</f>
        <v>2402400</v>
      </c>
      <c r="F24" s="58" t="s">
        <v>117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6" max="6" width="26.57421875" style="0" customWidth="1"/>
  </cols>
  <sheetData>
    <row r="2" spans="2:5" ht="15">
      <c r="B2" s="1" t="s">
        <v>66</v>
      </c>
      <c r="C2" s="34"/>
      <c r="D2" s="35">
        <f>IF('Basic parameters'!D4&gt;'Basic parameters'!D19,C8,IF('Basic parameters'!D4&gt;'Basic parameters'!D18,C7,C6))</f>
        <v>1080000</v>
      </c>
      <c r="E2" s="36" t="s">
        <v>45</v>
      </c>
    </row>
    <row r="6" spans="2:4" ht="14.25">
      <c r="B6" s="125" t="s">
        <v>41</v>
      </c>
      <c r="C6" s="135">
        <f>90000*12</f>
        <v>1080000</v>
      </c>
      <c r="D6" s="126" t="s">
        <v>84</v>
      </c>
    </row>
    <row r="7" spans="2:4" ht="14.25">
      <c r="B7" s="127" t="s">
        <v>42</v>
      </c>
      <c r="C7" s="135">
        <f>160000*12</f>
        <v>1920000</v>
      </c>
      <c r="D7" s="126" t="s">
        <v>84</v>
      </c>
    </row>
    <row r="8" spans="2:4" ht="14.25">
      <c r="B8" s="127" t="s">
        <v>43</v>
      </c>
      <c r="C8" s="135">
        <f>300000*12</f>
        <v>3600000</v>
      </c>
      <c r="D8" s="126" t="s">
        <v>84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1200000</v>
      </c>
      <c r="F21" s="58" t="s">
        <v>112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4.140625" style="0" customWidth="1"/>
    <col min="6" max="6" width="26.57421875" style="0" customWidth="1"/>
  </cols>
  <sheetData>
    <row r="2" spans="2:5" ht="15">
      <c r="B2" s="1" t="s">
        <v>57</v>
      </c>
      <c r="C2" s="34"/>
      <c r="D2" s="35">
        <f>C7*'Basic parameters'!D4/B7</f>
        <v>212500</v>
      </c>
      <c r="E2" s="36" t="s">
        <v>45</v>
      </c>
    </row>
    <row r="6" spans="2:3" ht="14.25">
      <c r="B6" s="38" t="s">
        <v>29</v>
      </c>
      <c r="C6" s="38" t="s">
        <v>48</v>
      </c>
    </row>
    <row r="7" spans="2:3" ht="14.25">
      <c r="B7" s="149">
        <v>96</v>
      </c>
      <c r="C7" s="150">
        <v>102000</v>
      </c>
    </row>
    <row r="9" ht="14.25">
      <c r="B9" s="148" t="s">
        <v>119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102000</v>
      </c>
      <c r="F21" s="58" t="s">
        <v>112</v>
      </c>
    </row>
    <row r="22" spans="2:6" ht="14.25">
      <c r="B22" t="s">
        <v>155</v>
      </c>
      <c r="C22" s="38" t="s">
        <v>153</v>
      </c>
      <c r="D22" s="56">
        <v>90</v>
      </c>
      <c r="E22" s="57">
        <v>423000</v>
      </c>
      <c r="F22" s="58" t="s">
        <v>108</v>
      </c>
    </row>
    <row r="23" spans="2:6" ht="14.25">
      <c r="B23" t="s">
        <v>156</v>
      </c>
      <c r="C23" s="38" t="s">
        <v>148</v>
      </c>
      <c r="D23" s="56">
        <v>115</v>
      </c>
      <c r="E23" s="57">
        <v>1500000</v>
      </c>
      <c r="F23" s="58" t="s">
        <v>109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4.140625" style="0" customWidth="1"/>
    <col min="6" max="6" width="26.57421875" style="0" customWidth="1"/>
  </cols>
  <sheetData>
    <row r="2" spans="2:5" ht="15">
      <c r="B2" s="1" t="s">
        <v>58</v>
      </c>
      <c r="C2" s="34"/>
      <c r="D2" s="35">
        <f>C7*'Basic parameters'!D4/B7</f>
        <v>500000</v>
      </c>
      <c r="E2" s="36" t="s">
        <v>45</v>
      </c>
    </row>
    <row r="6" spans="2:3" ht="14.25">
      <c r="B6" s="38" t="s">
        <v>29</v>
      </c>
      <c r="C6" s="38" t="s">
        <v>48</v>
      </c>
    </row>
    <row r="7" spans="2:3" ht="14.25">
      <c r="B7" s="149">
        <v>100</v>
      </c>
      <c r="C7" s="150">
        <v>250000</v>
      </c>
    </row>
    <row r="9" ht="14.25">
      <c r="B9" s="148"/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/>
      <c r="F21" s="58" t="s">
        <v>120</v>
      </c>
    </row>
    <row r="22" spans="2:6" ht="14.25">
      <c r="B22" t="s">
        <v>155</v>
      </c>
      <c r="C22" s="38" t="s">
        <v>153</v>
      </c>
      <c r="D22" s="56">
        <v>90</v>
      </c>
      <c r="E22" s="57">
        <v>234474</v>
      </c>
      <c r="F22" s="58" t="s">
        <v>108</v>
      </c>
    </row>
    <row r="23" spans="2:6" ht="14.25">
      <c r="B23" t="s">
        <v>156</v>
      </c>
      <c r="C23" s="38" t="s">
        <v>148</v>
      </c>
      <c r="D23" s="56">
        <v>115</v>
      </c>
      <c r="E23" s="57">
        <v>350000</v>
      </c>
      <c r="F23" s="58" t="s">
        <v>109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27.57421875" defaultRowHeight="15"/>
  <cols>
    <col min="1" max="1" width="6.00390625" style="0" customWidth="1"/>
    <col min="2" max="2" width="3.140625" style="0" customWidth="1"/>
    <col min="3" max="3" width="25.57421875" style="0" customWidth="1"/>
    <col min="4" max="4" width="16.00390625" style="0" customWidth="1"/>
    <col min="5" max="5" width="15.00390625" style="0" customWidth="1"/>
    <col min="6" max="7" width="8.8515625" style="0" customWidth="1"/>
    <col min="8" max="8" width="9.421875" style="0" customWidth="1"/>
    <col min="9" max="9" width="9.00390625" style="0" customWidth="1"/>
    <col min="10" max="10" width="14.00390625" style="0" customWidth="1"/>
  </cols>
  <sheetData>
    <row r="2" ht="15">
      <c r="B2" s="75" t="s">
        <v>95</v>
      </c>
    </row>
    <row r="4" spans="2:5" ht="15">
      <c r="B4" s="15" t="s">
        <v>28</v>
      </c>
      <c r="C4" s="23"/>
      <c r="D4" s="70">
        <v>200</v>
      </c>
      <c r="E4" s="16" t="s">
        <v>29</v>
      </c>
    </row>
    <row r="5" spans="2:5" ht="14.25">
      <c r="B5" s="37"/>
      <c r="C5" s="7"/>
      <c r="D5" s="7"/>
      <c r="E5" s="7"/>
    </row>
    <row r="6" spans="2:5" ht="14.25">
      <c r="B6" s="37"/>
      <c r="C6" s="7"/>
      <c r="D6" s="7"/>
      <c r="E6" s="7"/>
    </row>
    <row r="7" spans="2:5" ht="15">
      <c r="B7" s="53" t="s">
        <v>83</v>
      </c>
      <c r="C7" s="54"/>
      <c r="D7" s="71">
        <f>SUM(D8:D12)</f>
        <v>503091932</v>
      </c>
      <c r="E7" s="55" t="s">
        <v>84</v>
      </c>
    </row>
    <row r="8" spans="2:11" ht="14.25">
      <c r="B8" s="47"/>
      <c r="C8" s="48" t="s">
        <v>85</v>
      </c>
      <c r="D8" s="63">
        <v>288946583</v>
      </c>
      <c r="E8" s="29" t="s">
        <v>84</v>
      </c>
      <c r="G8" t="s">
        <v>111</v>
      </c>
      <c r="J8" s="142">
        <f>D8+D9+D10</f>
        <v>445105049</v>
      </c>
      <c r="K8" t="s">
        <v>84</v>
      </c>
    </row>
    <row r="9" spans="2:5" ht="14.25">
      <c r="B9" s="49"/>
      <c r="C9" s="11" t="s">
        <v>86</v>
      </c>
      <c r="D9" s="64">
        <v>75840656</v>
      </c>
      <c r="E9" s="4" t="s">
        <v>84</v>
      </c>
    </row>
    <row r="10" spans="2:5" ht="14.25">
      <c r="B10" s="49"/>
      <c r="C10" s="11" t="s">
        <v>87</v>
      </c>
      <c r="D10" s="64">
        <f>42102810+38215000</f>
        <v>80317810</v>
      </c>
      <c r="E10" s="4" t="s">
        <v>84</v>
      </c>
    </row>
    <row r="11" spans="2:5" ht="14.25">
      <c r="B11" s="49"/>
      <c r="C11" s="11" t="s">
        <v>88</v>
      </c>
      <c r="D11" s="64">
        <v>2500000</v>
      </c>
      <c r="E11" s="4" t="s">
        <v>84</v>
      </c>
    </row>
    <row r="12" spans="2:5" ht="14.25">
      <c r="B12" s="50"/>
      <c r="C12" s="51" t="s">
        <v>144</v>
      </c>
      <c r="D12" s="65">
        <v>55486883</v>
      </c>
      <c r="E12" s="5" t="s">
        <v>84</v>
      </c>
    </row>
    <row r="14" spans="1:5" ht="14.25">
      <c r="A14" s="7"/>
      <c r="B14" s="7"/>
      <c r="C14" s="7"/>
      <c r="D14" s="7"/>
      <c r="E14" s="7"/>
    </row>
    <row r="15" spans="1:5" ht="15">
      <c r="A15" s="7"/>
      <c r="B15" s="156" t="s">
        <v>40</v>
      </c>
      <c r="C15" s="157"/>
      <c r="D15" s="30" t="s">
        <v>26</v>
      </c>
      <c r="E15" s="24" t="s">
        <v>27</v>
      </c>
    </row>
    <row r="16" spans="1:5" ht="17.25" customHeight="1">
      <c r="A16" s="7"/>
      <c r="B16" s="158"/>
      <c r="C16" s="159"/>
      <c r="D16" s="25" t="s">
        <v>44</v>
      </c>
      <c r="E16" s="17" t="s">
        <v>44</v>
      </c>
    </row>
    <row r="17" spans="1:5" ht="14.25">
      <c r="A17" s="7"/>
      <c r="B17" s="28"/>
      <c r="C17" s="29" t="s">
        <v>41</v>
      </c>
      <c r="D17" s="32">
        <v>100</v>
      </c>
      <c r="E17" s="31">
        <f>D18*0.999999999</f>
        <v>399.9999996</v>
      </c>
    </row>
    <row r="18" spans="1:5" ht="14.25">
      <c r="A18" s="7"/>
      <c r="B18" s="3"/>
      <c r="C18" s="4" t="s">
        <v>42</v>
      </c>
      <c r="D18" s="32">
        <v>400</v>
      </c>
      <c r="E18" s="31">
        <f>D19*0.999999999</f>
        <v>1799.9999982000002</v>
      </c>
    </row>
    <row r="19" spans="1:5" ht="14.25">
      <c r="A19" s="7"/>
      <c r="B19" s="9"/>
      <c r="C19" s="5" t="s">
        <v>43</v>
      </c>
      <c r="D19" s="33">
        <v>1800</v>
      </c>
      <c r="E19" s="33">
        <v>3000</v>
      </c>
    </row>
    <row r="20" spans="1:5" ht="14.25">
      <c r="A20" s="7"/>
      <c r="B20" s="7"/>
      <c r="C20" s="7"/>
      <c r="D20" s="7"/>
      <c r="E20" s="7"/>
    </row>
    <row r="21" spans="2:3" ht="14.25">
      <c r="B21" s="7"/>
      <c r="C21" s="7"/>
    </row>
    <row r="22" spans="2:5" ht="14.25">
      <c r="B22" t="s">
        <v>98</v>
      </c>
      <c r="D22" s="128">
        <v>60</v>
      </c>
      <c r="E22" t="s">
        <v>99</v>
      </c>
    </row>
    <row r="24" spans="2:5" ht="14.25">
      <c r="B24" t="s">
        <v>122</v>
      </c>
      <c r="D24" s="128">
        <v>770</v>
      </c>
      <c r="E24" t="s">
        <v>123</v>
      </c>
    </row>
    <row r="25" spans="4:5" ht="14.25">
      <c r="D25" s="128">
        <v>570</v>
      </c>
      <c r="E25" t="s">
        <v>124</v>
      </c>
    </row>
  </sheetData>
  <sheetProtection/>
  <mergeCells count="1">
    <mergeCell ref="B15:C16"/>
  </mergeCells>
  <conditionalFormatting sqref="D4">
    <cfRule type="cellIs" priority="1" dxfId="0" operator="notBetween" stopIfTrue="1">
      <formula>100</formula>
      <formula>5000</formula>
    </cfRule>
  </conditionalFormatting>
  <printOptions/>
  <pageMargins left="0.7" right="0.56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27.57421875" defaultRowHeight="15"/>
  <cols>
    <col min="1" max="1" width="6.00390625" style="0" customWidth="1"/>
    <col min="2" max="2" width="3.140625" style="0" customWidth="1"/>
    <col min="3" max="3" width="44.00390625" style="0" customWidth="1"/>
    <col min="4" max="4" width="16.00390625" style="0" customWidth="1"/>
    <col min="5" max="5" width="12.7109375" style="0" customWidth="1"/>
    <col min="6" max="6" width="8.8515625" style="0" customWidth="1"/>
    <col min="7" max="7" width="10.00390625" style="0" customWidth="1"/>
    <col min="8" max="8" width="9.421875" style="0" customWidth="1"/>
    <col min="9" max="9" width="10.7109375" style="0" customWidth="1"/>
  </cols>
  <sheetData>
    <row r="2" spans="2:3" ht="15.75">
      <c r="B2" s="76" t="s">
        <v>13</v>
      </c>
      <c r="C2" s="13"/>
    </row>
    <row r="3" spans="2:4" ht="14.25">
      <c r="B3" s="46"/>
      <c r="C3" s="46"/>
      <c r="D3" s="46"/>
    </row>
    <row r="4" spans="2:4" ht="15">
      <c r="B4" s="13"/>
      <c r="C4" s="13"/>
      <c r="D4" s="7"/>
    </row>
    <row r="5" spans="1:5" ht="15">
      <c r="A5" s="7"/>
      <c r="B5" s="156" t="s">
        <v>1</v>
      </c>
      <c r="C5" s="160"/>
      <c r="D5" s="14" t="s">
        <v>2</v>
      </c>
      <c r="E5" s="163" t="s">
        <v>3</v>
      </c>
    </row>
    <row r="6" spans="1:5" ht="15">
      <c r="A6" s="7"/>
      <c r="B6" s="161"/>
      <c r="C6" s="162"/>
      <c r="D6" s="77" t="s">
        <v>45</v>
      </c>
      <c r="E6" s="164"/>
    </row>
    <row r="7" spans="1:8" ht="15">
      <c r="A7" s="7"/>
      <c r="B7" s="53" t="s">
        <v>0</v>
      </c>
      <c r="C7" s="78"/>
      <c r="D7" s="82">
        <f>SUM(D8:D18)</f>
        <v>22660113.896250002</v>
      </c>
      <c r="E7" s="79">
        <f>SUM(E8:E18)</f>
        <v>0.9999999999999999</v>
      </c>
      <c r="G7" s="153">
        <f>G9/'Basic parameters'!D24</f>
        <v>147.1435967288961</v>
      </c>
      <c r="H7" t="s">
        <v>126</v>
      </c>
    </row>
    <row r="8" spans="1:8" ht="14.25">
      <c r="A8" s="7"/>
      <c r="B8" s="3">
        <v>1</v>
      </c>
      <c r="C8" s="11" t="s">
        <v>7</v>
      </c>
      <c r="D8" s="21">
        <f>'1 Personnel'!D2</f>
        <v>12279000</v>
      </c>
      <c r="E8" s="80">
        <f aca="true" t="shared" si="0" ref="E8:E18">D8/$D$7</f>
        <v>0.5418772410509393</v>
      </c>
      <c r="G8" s="153">
        <f>G9/'Basic parameters'!D25</f>
        <v>198.7729289144737</v>
      </c>
      <c r="H8" t="s">
        <v>125</v>
      </c>
    </row>
    <row r="9" spans="1:8" ht="14.25">
      <c r="A9" s="7"/>
      <c r="B9" s="3">
        <v>2</v>
      </c>
      <c r="C9" s="11" t="s">
        <v>63</v>
      </c>
      <c r="D9" s="21">
        <f>'2 Maintenance'!D2</f>
        <v>2614728.525</v>
      </c>
      <c r="E9" s="80">
        <f t="shared" si="0"/>
        <v>0.11538902835932827</v>
      </c>
      <c r="G9" s="153">
        <f>D7/'Basic parameters'!D4</f>
        <v>113300.56948125002</v>
      </c>
      <c r="H9" t="s">
        <v>92</v>
      </c>
    </row>
    <row r="10" spans="1:5" ht="14.25">
      <c r="A10" s="7"/>
      <c r="B10" s="3">
        <v>3</v>
      </c>
      <c r="C10" s="11" t="s">
        <v>4</v>
      </c>
      <c r="D10" s="21">
        <f>'3 Insurance'!D2</f>
        <v>2614192.06</v>
      </c>
      <c r="E10" s="80">
        <f t="shared" si="0"/>
        <v>0.11536535394169488</v>
      </c>
    </row>
    <row r="11" spans="1:8" ht="14.25">
      <c r="A11" s="7"/>
      <c r="B11" s="3">
        <v>4</v>
      </c>
      <c r="C11" s="11" t="s">
        <v>8</v>
      </c>
      <c r="D11" s="21">
        <f>'4 Bills'!D2</f>
        <v>273312</v>
      </c>
      <c r="E11" s="80">
        <f t="shared" si="0"/>
        <v>0.012061369208088143</v>
      </c>
      <c r="G11" s="154">
        <f>D7/'Basic parameters'!D7</f>
        <v>0.04504169606967579</v>
      </c>
      <c r="H11" t="s">
        <v>121</v>
      </c>
    </row>
    <row r="12" spans="1:5" ht="14.25">
      <c r="A12" s="7"/>
      <c r="B12" s="3">
        <v>5</v>
      </c>
      <c r="C12" s="11" t="s">
        <v>9</v>
      </c>
      <c r="D12" s="21">
        <f>'5 Stationary'!D2</f>
        <v>250000</v>
      </c>
      <c r="E12" s="80">
        <f t="shared" si="0"/>
        <v>0.011032601210418993</v>
      </c>
    </row>
    <row r="13" spans="1:5" ht="14.25">
      <c r="A13" s="7"/>
      <c r="B13" s="3">
        <v>6</v>
      </c>
      <c r="C13" s="11" t="s">
        <v>62</v>
      </c>
      <c r="D13" s="21">
        <f>'6 Consumables'!D2</f>
        <v>556381.31125</v>
      </c>
      <c r="E13" s="80">
        <f t="shared" si="0"/>
        <v>0.024553332511805026</v>
      </c>
    </row>
    <row r="14" spans="1:5" ht="14.25">
      <c r="A14" s="7"/>
      <c r="B14" s="3">
        <v>7</v>
      </c>
      <c r="C14" s="11" t="s">
        <v>10</v>
      </c>
      <c r="D14" s="21">
        <f>'7 Communication'!D2</f>
        <v>840000</v>
      </c>
      <c r="E14" s="80">
        <f t="shared" si="0"/>
        <v>0.037069540067007814</v>
      </c>
    </row>
    <row r="15" spans="1:5" ht="14.25">
      <c r="A15" s="7"/>
      <c r="B15" s="3">
        <v>8</v>
      </c>
      <c r="C15" s="11" t="s">
        <v>11</v>
      </c>
      <c r="D15" s="21">
        <f>'8 Transport'!D2</f>
        <v>1440000</v>
      </c>
      <c r="E15" s="80">
        <f t="shared" si="0"/>
        <v>0.0635477829720134</v>
      </c>
    </row>
    <row r="16" spans="1:5" ht="17.25" customHeight="1">
      <c r="A16" s="7"/>
      <c r="B16" s="3">
        <v>9</v>
      </c>
      <c r="C16" s="11" t="s">
        <v>65</v>
      </c>
      <c r="D16" s="21">
        <f>'9 Office rent'!D2</f>
        <v>1080000</v>
      </c>
      <c r="E16" s="80">
        <f t="shared" si="0"/>
        <v>0.047660837229010045</v>
      </c>
    </row>
    <row r="17" spans="1:5" ht="17.25" customHeight="1">
      <c r="A17" s="7"/>
      <c r="B17" s="3">
        <v>10</v>
      </c>
      <c r="C17" s="11" t="s">
        <v>5</v>
      </c>
      <c r="D17" s="21">
        <f>'10 Local taxes'!D2</f>
        <v>212500</v>
      </c>
      <c r="E17" s="80">
        <f t="shared" si="0"/>
        <v>0.009377711028856144</v>
      </c>
    </row>
    <row r="18" spans="1:5" ht="14.25">
      <c r="A18" s="7"/>
      <c r="B18" s="9">
        <v>11</v>
      </c>
      <c r="C18" s="52" t="s">
        <v>12</v>
      </c>
      <c r="D18" s="22">
        <f>'11 Environment'!D2</f>
        <v>500000</v>
      </c>
      <c r="E18" s="81">
        <f t="shared" si="0"/>
        <v>0.022065202420837985</v>
      </c>
    </row>
    <row r="19" ht="14.25">
      <c r="A19" s="7"/>
    </row>
    <row r="20" spans="1:5" ht="14.25">
      <c r="A20" s="7"/>
      <c r="B20" s="7"/>
      <c r="C20" s="7"/>
      <c r="D20" s="7"/>
      <c r="E20" s="7"/>
    </row>
    <row r="21" spans="1:5" ht="14.25">
      <c r="A21" s="7"/>
      <c r="B21" s="7"/>
      <c r="C21" s="7"/>
      <c r="D21" s="7"/>
      <c r="E21" s="7"/>
    </row>
    <row r="22" ht="14.25">
      <c r="A22" s="7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</sheetData>
  <sheetProtection/>
  <mergeCells count="2">
    <mergeCell ref="B5:C6"/>
    <mergeCell ref="E5:E6"/>
  </mergeCells>
  <printOptions/>
  <pageMargins left="0.7" right="0.5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1"/>
  <sheetViews>
    <sheetView workbookViewId="0" topLeftCell="A1">
      <selection activeCell="A1" sqref="A1"/>
    </sheetView>
  </sheetViews>
  <sheetFormatPr defaultColWidth="27.57421875" defaultRowHeight="15"/>
  <cols>
    <col min="1" max="1" width="6.00390625" style="0" customWidth="1"/>
    <col min="2" max="2" width="3.140625" style="0" customWidth="1"/>
    <col min="3" max="3" width="33.28125" style="0" customWidth="1"/>
    <col min="4" max="10" width="12.7109375" style="0" customWidth="1"/>
    <col min="11" max="11" width="13.421875" style="0" customWidth="1"/>
    <col min="12" max="12" width="3.00390625" style="0" customWidth="1"/>
    <col min="13" max="13" width="11.57421875" style="0" customWidth="1"/>
    <col min="14" max="14" width="11.421875" style="0" customWidth="1"/>
    <col min="15" max="18" width="12.57421875" style="0" customWidth="1"/>
  </cols>
  <sheetData>
    <row r="2" spans="2:6" ht="15">
      <c r="B2" s="1" t="s">
        <v>6</v>
      </c>
      <c r="C2" s="34"/>
      <c r="D2" s="35">
        <f>IF('Basic parameters'!D4&gt;'Basic parameters'!D19,'1 Personnel'!J15,IF('Basic parameters'!D4&gt;'Basic parameters'!D18,'1 Personnel'!H15,'1 Personnel'!F15))</f>
        <v>12279000</v>
      </c>
      <c r="E2" s="36" t="s">
        <v>45</v>
      </c>
      <c r="F2" s="7"/>
    </row>
    <row r="3" spans="1:6" ht="14.25">
      <c r="A3" s="7"/>
      <c r="B3" s="7"/>
      <c r="C3" s="7"/>
      <c r="D3" s="7"/>
      <c r="E3" s="7"/>
      <c r="F3" s="7"/>
    </row>
    <row r="4" spans="1:10" ht="21.75" customHeight="1">
      <c r="A4" s="7"/>
      <c r="B4" s="172" t="s">
        <v>22</v>
      </c>
      <c r="C4" s="173"/>
      <c r="D4" s="170" t="s">
        <v>24</v>
      </c>
      <c r="E4" s="167" t="str">
        <f>'Basic parameters'!C17</f>
        <v>Step 1</v>
      </c>
      <c r="F4" s="169"/>
      <c r="G4" s="167" t="str">
        <f>'Basic parameters'!C18</f>
        <v>Step 2</v>
      </c>
      <c r="H4" s="169"/>
      <c r="I4" s="167" t="str">
        <f>'Basic parameters'!C19</f>
        <v>Step 3</v>
      </c>
      <c r="J4" s="169"/>
    </row>
    <row r="5" spans="1:10" ht="33" customHeight="1">
      <c r="A5" s="7"/>
      <c r="B5" s="174"/>
      <c r="C5" s="175"/>
      <c r="D5" s="171"/>
      <c r="E5" s="12" t="s">
        <v>23</v>
      </c>
      <c r="F5" s="17" t="s">
        <v>14</v>
      </c>
      <c r="G5" s="12" t="s">
        <v>23</v>
      </c>
      <c r="H5" s="17" t="s">
        <v>14</v>
      </c>
      <c r="I5" s="12" t="s">
        <v>23</v>
      </c>
      <c r="J5" s="17" t="s">
        <v>14</v>
      </c>
    </row>
    <row r="6" spans="1:10" ht="14.25">
      <c r="A6" s="7"/>
      <c r="B6" s="10"/>
      <c r="C6" s="4" t="s">
        <v>25</v>
      </c>
      <c r="D6" s="44">
        <f aca="true" t="shared" si="0" ref="D6:D14">M22</f>
        <v>600000</v>
      </c>
      <c r="E6" s="130">
        <v>0</v>
      </c>
      <c r="F6" s="18">
        <f aca="true" t="shared" si="1" ref="F6:F14">D6*E6*12</f>
        <v>0</v>
      </c>
      <c r="G6" s="130">
        <v>1</v>
      </c>
      <c r="H6" s="18">
        <f aca="true" t="shared" si="2" ref="H6:H14">D6*G6*12</f>
        <v>7200000</v>
      </c>
      <c r="I6" s="130">
        <v>1</v>
      </c>
      <c r="J6" s="18">
        <f aca="true" t="shared" si="3" ref="J6:J14">D6*I6*12</f>
        <v>7200000</v>
      </c>
    </row>
    <row r="7" spans="1:10" ht="14.25">
      <c r="A7" s="7"/>
      <c r="B7" s="10"/>
      <c r="C7" s="4" t="s">
        <v>17</v>
      </c>
      <c r="D7" s="44">
        <f t="shared" si="0"/>
        <v>316000</v>
      </c>
      <c r="E7" s="130">
        <v>1</v>
      </c>
      <c r="F7" s="18">
        <f t="shared" si="1"/>
        <v>3792000</v>
      </c>
      <c r="G7" s="130">
        <v>0</v>
      </c>
      <c r="H7" s="18">
        <f t="shared" si="2"/>
        <v>0</v>
      </c>
      <c r="I7" s="130">
        <v>2</v>
      </c>
      <c r="J7" s="18">
        <f t="shared" si="3"/>
        <v>7584000</v>
      </c>
    </row>
    <row r="8" spans="1:10" ht="14.25">
      <c r="A8" s="7"/>
      <c r="B8" s="3"/>
      <c r="C8" s="4" t="s">
        <v>16</v>
      </c>
      <c r="D8" s="44">
        <f t="shared" si="0"/>
        <v>116333.33333333333</v>
      </c>
      <c r="E8" s="130">
        <v>3</v>
      </c>
      <c r="F8" s="18">
        <f t="shared" si="1"/>
        <v>4188000</v>
      </c>
      <c r="G8" s="130">
        <v>3</v>
      </c>
      <c r="H8" s="18">
        <f t="shared" si="2"/>
        <v>4188000</v>
      </c>
      <c r="I8" s="130">
        <v>4</v>
      </c>
      <c r="J8" s="18">
        <f t="shared" si="3"/>
        <v>5584000</v>
      </c>
    </row>
    <row r="9" spans="1:10" ht="14.25">
      <c r="A9" s="7"/>
      <c r="B9" s="3"/>
      <c r="C9" s="4" t="s">
        <v>15</v>
      </c>
      <c r="D9" s="44">
        <f t="shared" si="0"/>
        <v>225000</v>
      </c>
      <c r="E9" s="130">
        <v>0.5</v>
      </c>
      <c r="F9" s="18">
        <f t="shared" si="1"/>
        <v>1350000</v>
      </c>
      <c r="G9" s="130">
        <v>1</v>
      </c>
      <c r="H9" s="18">
        <f t="shared" si="2"/>
        <v>2700000</v>
      </c>
      <c r="I9" s="130">
        <v>1</v>
      </c>
      <c r="J9" s="18">
        <f t="shared" si="3"/>
        <v>2700000</v>
      </c>
    </row>
    <row r="10" spans="1:10" ht="14.25">
      <c r="A10" s="7"/>
      <c r="B10" s="3"/>
      <c r="C10" s="4" t="s">
        <v>18</v>
      </c>
      <c r="D10" s="44">
        <f t="shared" si="0"/>
        <v>85000</v>
      </c>
      <c r="E10" s="130">
        <v>0.5</v>
      </c>
      <c r="F10" s="18">
        <f t="shared" si="1"/>
        <v>510000</v>
      </c>
      <c r="G10" s="130">
        <v>1</v>
      </c>
      <c r="H10" s="18">
        <f t="shared" si="2"/>
        <v>1020000</v>
      </c>
      <c r="I10" s="130">
        <v>1</v>
      </c>
      <c r="J10" s="18">
        <f t="shared" si="3"/>
        <v>1020000</v>
      </c>
    </row>
    <row r="11" spans="1:10" ht="14.25">
      <c r="A11" s="7"/>
      <c r="B11" s="3"/>
      <c r="C11" s="4" t="s">
        <v>81</v>
      </c>
      <c r="D11" s="44">
        <f t="shared" si="0"/>
        <v>105000</v>
      </c>
      <c r="E11" s="130">
        <v>1.5</v>
      </c>
      <c r="F11" s="18">
        <f>D11*E11*12</f>
        <v>1890000</v>
      </c>
      <c r="G11" s="130">
        <v>0</v>
      </c>
      <c r="H11" s="18">
        <f>D11*G11*12</f>
        <v>0</v>
      </c>
      <c r="I11" s="130">
        <v>0</v>
      </c>
      <c r="J11" s="18">
        <f>D11*I11*12</f>
        <v>0</v>
      </c>
    </row>
    <row r="12" spans="1:10" ht="14.25">
      <c r="A12" s="7"/>
      <c r="B12" s="3"/>
      <c r="C12" s="4" t="s">
        <v>19</v>
      </c>
      <c r="D12" s="44">
        <f t="shared" si="0"/>
        <v>30500</v>
      </c>
      <c r="E12" s="130">
        <v>1.5</v>
      </c>
      <c r="F12" s="18">
        <f t="shared" si="1"/>
        <v>549000</v>
      </c>
      <c r="G12" s="130">
        <v>3</v>
      </c>
      <c r="H12" s="18">
        <f t="shared" si="2"/>
        <v>1098000</v>
      </c>
      <c r="I12" s="130">
        <v>4</v>
      </c>
      <c r="J12" s="18">
        <f t="shared" si="3"/>
        <v>1464000</v>
      </c>
    </row>
    <row r="13" spans="1:10" ht="14.25">
      <c r="A13" s="7"/>
      <c r="B13" s="3"/>
      <c r="C13" s="4" t="s">
        <v>20</v>
      </c>
      <c r="D13" s="44">
        <f t="shared" si="0"/>
        <v>0</v>
      </c>
      <c r="E13" s="130">
        <v>0</v>
      </c>
      <c r="F13" s="18">
        <f t="shared" si="1"/>
        <v>0</v>
      </c>
      <c r="G13" s="130">
        <v>0</v>
      </c>
      <c r="H13" s="18">
        <f t="shared" si="2"/>
        <v>0</v>
      </c>
      <c r="I13" s="130">
        <v>0</v>
      </c>
      <c r="J13" s="18">
        <f t="shared" si="3"/>
        <v>0</v>
      </c>
    </row>
    <row r="14" spans="1:10" ht="14.25">
      <c r="A14" s="7"/>
      <c r="B14" s="9"/>
      <c r="C14" s="5" t="s">
        <v>21</v>
      </c>
      <c r="D14" s="45">
        <f t="shared" si="0"/>
        <v>0</v>
      </c>
      <c r="E14" s="131">
        <v>0</v>
      </c>
      <c r="F14" s="18">
        <f t="shared" si="1"/>
        <v>0</v>
      </c>
      <c r="G14" s="131">
        <v>0</v>
      </c>
      <c r="H14" s="18">
        <f t="shared" si="2"/>
        <v>0</v>
      </c>
      <c r="I14" s="131">
        <v>0</v>
      </c>
      <c r="J14" s="18">
        <f t="shared" si="3"/>
        <v>0</v>
      </c>
    </row>
    <row r="15" spans="1:10" ht="15">
      <c r="A15" s="7"/>
      <c r="B15" s="1" t="s">
        <v>0</v>
      </c>
      <c r="C15" s="2"/>
      <c r="D15" s="8"/>
      <c r="E15" s="8"/>
      <c r="F15" s="19">
        <f>SUM(F6:F14)</f>
        <v>12279000</v>
      </c>
      <c r="G15" s="8"/>
      <c r="H15" s="19">
        <f>SUM(H6:H14)</f>
        <v>16206000</v>
      </c>
      <c r="I15" s="8"/>
      <c r="J15" s="19">
        <f>SUM(J6:J14)</f>
        <v>25552000</v>
      </c>
    </row>
    <row r="16" spans="1:6" ht="14.25">
      <c r="A16" s="7"/>
      <c r="B16" s="7"/>
      <c r="C16" s="7"/>
      <c r="D16" s="7"/>
      <c r="E16" s="7"/>
      <c r="F16" s="7"/>
    </row>
    <row r="17" ht="14.25">
      <c r="B17" s="11"/>
    </row>
    <row r="18" ht="15">
      <c r="B18" s="6" t="s">
        <v>89</v>
      </c>
    </row>
    <row r="19" spans="2:11" ht="21" customHeight="1">
      <c r="B19" s="172" t="s">
        <v>22</v>
      </c>
      <c r="C19" s="173"/>
      <c r="D19" s="167" t="s">
        <v>151</v>
      </c>
      <c r="E19" s="168"/>
      <c r="F19" s="168"/>
      <c r="G19" s="168"/>
      <c r="H19" s="168"/>
      <c r="I19" s="168"/>
      <c r="J19" s="168"/>
      <c r="K19" s="169"/>
    </row>
    <row r="20" spans="2:18" ht="24.75" customHeight="1">
      <c r="B20" s="176"/>
      <c r="C20" s="177"/>
      <c r="D20" s="178" t="s">
        <v>145</v>
      </c>
      <c r="E20" s="179"/>
      <c r="F20" s="178" t="s">
        <v>146</v>
      </c>
      <c r="G20" s="179"/>
      <c r="H20" s="178" t="s">
        <v>147</v>
      </c>
      <c r="I20" s="179"/>
      <c r="J20" s="165" t="s">
        <v>148</v>
      </c>
      <c r="K20" s="166"/>
      <c r="M20" s="20" t="s">
        <v>82</v>
      </c>
      <c r="O20" s="165" t="s">
        <v>149</v>
      </c>
      <c r="P20" s="166"/>
      <c r="Q20" s="165" t="s">
        <v>150</v>
      </c>
      <c r="R20" s="166"/>
    </row>
    <row r="21" spans="2:18" ht="17.25" customHeight="1">
      <c r="B21" s="174"/>
      <c r="C21" s="175"/>
      <c r="D21" s="20" t="s">
        <v>26</v>
      </c>
      <c r="E21" s="20" t="s">
        <v>27</v>
      </c>
      <c r="F21" s="20" t="s">
        <v>26</v>
      </c>
      <c r="G21" s="20" t="s">
        <v>27</v>
      </c>
      <c r="H21" s="20" t="s">
        <v>26</v>
      </c>
      <c r="I21" s="20" t="s">
        <v>27</v>
      </c>
      <c r="J21" s="20" t="s">
        <v>26</v>
      </c>
      <c r="K21" s="20" t="s">
        <v>27</v>
      </c>
      <c r="O21" s="20" t="s">
        <v>26</v>
      </c>
      <c r="P21" s="20" t="s">
        <v>27</v>
      </c>
      <c r="Q21" s="20" t="s">
        <v>26</v>
      </c>
      <c r="R21" s="20" t="s">
        <v>27</v>
      </c>
    </row>
    <row r="22" spans="2:18" ht="14.25">
      <c r="B22" s="10"/>
      <c r="C22" s="4" t="s">
        <v>25</v>
      </c>
      <c r="D22" s="26">
        <v>0</v>
      </c>
      <c r="E22" s="26">
        <v>600000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M22" s="43">
        <f>IF(M33&gt;0,SUM(D22:K22)/M33,0)</f>
        <v>600000</v>
      </c>
      <c r="O22" s="26">
        <v>0</v>
      </c>
      <c r="P22" s="26">
        <v>0</v>
      </c>
      <c r="Q22" s="26">
        <v>0</v>
      </c>
      <c r="R22" s="26">
        <v>0</v>
      </c>
    </row>
    <row r="23" spans="2:18" ht="14.25">
      <c r="B23" s="10"/>
      <c r="C23" s="4" t="s">
        <v>17</v>
      </c>
      <c r="D23" s="26">
        <v>250000</v>
      </c>
      <c r="E23" s="26">
        <v>400000</v>
      </c>
      <c r="F23" s="26">
        <v>0</v>
      </c>
      <c r="G23" s="26">
        <v>0</v>
      </c>
      <c r="H23" s="26">
        <v>265000</v>
      </c>
      <c r="I23" s="26">
        <v>265000</v>
      </c>
      <c r="J23" s="26">
        <v>400000</v>
      </c>
      <c r="K23" s="26">
        <v>0</v>
      </c>
      <c r="M23" s="43">
        <f aca="true" t="shared" si="4" ref="M23:M30">IF(M34&gt;0,SUM(D23:K23)/M34,0)</f>
        <v>316000</v>
      </c>
      <c r="O23" s="26">
        <v>0</v>
      </c>
      <c r="P23" s="26">
        <v>0</v>
      </c>
      <c r="Q23" s="26">
        <v>0</v>
      </c>
      <c r="R23" s="26">
        <v>0</v>
      </c>
    </row>
    <row r="24" spans="2:18" ht="14.25">
      <c r="B24" s="3"/>
      <c r="C24" s="4" t="s">
        <v>16</v>
      </c>
      <c r="D24" s="26">
        <v>80000</v>
      </c>
      <c r="E24" s="26">
        <v>100000</v>
      </c>
      <c r="F24" s="26">
        <v>0</v>
      </c>
      <c r="G24" s="26">
        <v>200000</v>
      </c>
      <c r="H24" s="26">
        <v>68000</v>
      </c>
      <c r="I24" s="26">
        <v>100000</v>
      </c>
      <c r="J24" s="26">
        <v>150000</v>
      </c>
      <c r="K24" s="26">
        <v>0</v>
      </c>
      <c r="M24" s="43">
        <f t="shared" si="4"/>
        <v>116333.33333333333</v>
      </c>
      <c r="O24" s="26">
        <v>40000</v>
      </c>
      <c r="P24" s="26">
        <v>100000</v>
      </c>
      <c r="Q24" s="26">
        <v>40000</v>
      </c>
      <c r="R24" s="26">
        <v>40000</v>
      </c>
    </row>
    <row r="25" spans="2:18" ht="14.25">
      <c r="B25" s="3"/>
      <c r="C25" s="4" t="s">
        <v>15</v>
      </c>
      <c r="D25" s="26">
        <v>0</v>
      </c>
      <c r="E25" s="26">
        <v>0</v>
      </c>
      <c r="F25" s="26">
        <v>0</v>
      </c>
      <c r="G25" s="26">
        <v>300000</v>
      </c>
      <c r="H25" s="26">
        <v>0</v>
      </c>
      <c r="I25" s="26">
        <v>0</v>
      </c>
      <c r="J25" s="26">
        <v>150000</v>
      </c>
      <c r="K25" s="26">
        <v>0</v>
      </c>
      <c r="M25" s="43">
        <f t="shared" si="4"/>
        <v>225000</v>
      </c>
      <c r="O25" s="26">
        <v>0</v>
      </c>
      <c r="P25" s="26">
        <v>0</v>
      </c>
      <c r="Q25" s="26">
        <v>0</v>
      </c>
      <c r="R25" s="26">
        <v>0</v>
      </c>
    </row>
    <row r="26" spans="2:18" ht="14.25">
      <c r="B26" s="3"/>
      <c r="C26" s="4" t="s">
        <v>18</v>
      </c>
      <c r="D26" s="26">
        <v>70000</v>
      </c>
      <c r="E26" s="26">
        <v>100000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M26" s="43">
        <f t="shared" si="4"/>
        <v>85000</v>
      </c>
      <c r="O26" s="26">
        <v>0</v>
      </c>
      <c r="P26" s="26">
        <v>0</v>
      </c>
      <c r="Q26" s="26">
        <v>0</v>
      </c>
      <c r="R26" s="26">
        <v>0</v>
      </c>
    </row>
    <row r="27" spans="2:18" ht="14.25">
      <c r="B27" s="3"/>
      <c r="C27" s="4" t="s">
        <v>81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105000</v>
      </c>
      <c r="K27" s="26">
        <v>0</v>
      </c>
      <c r="M27" s="43">
        <f t="shared" si="4"/>
        <v>105000</v>
      </c>
      <c r="O27" s="26">
        <v>0</v>
      </c>
      <c r="P27" s="26">
        <v>0</v>
      </c>
      <c r="Q27" s="26">
        <v>0</v>
      </c>
      <c r="R27" s="26">
        <v>0</v>
      </c>
    </row>
    <row r="28" spans="2:18" ht="14.25">
      <c r="B28" s="3"/>
      <c r="C28" s="4" t="s">
        <v>19</v>
      </c>
      <c r="D28" s="26">
        <v>0</v>
      </c>
      <c r="E28" s="26">
        <v>0</v>
      </c>
      <c r="F28" s="26">
        <v>0</v>
      </c>
      <c r="G28" s="26">
        <v>50000</v>
      </c>
      <c r="H28" s="26">
        <v>21000</v>
      </c>
      <c r="I28" s="26">
        <v>21000</v>
      </c>
      <c r="J28" s="26">
        <v>30000</v>
      </c>
      <c r="K28" s="26">
        <v>0</v>
      </c>
      <c r="M28" s="43">
        <f t="shared" si="4"/>
        <v>30500</v>
      </c>
      <c r="O28" s="26">
        <v>0</v>
      </c>
      <c r="P28" s="26">
        <v>0</v>
      </c>
      <c r="Q28" s="26">
        <v>0</v>
      </c>
      <c r="R28" s="26">
        <v>0</v>
      </c>
    </row>
    <row r="29" spans="2:18" ht="14.25">
      <c r="B29" s="3"/>
      <c r="C29" s="4" t="s">
        <v>20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M29" s="43">
        <f t="shared" si="4"/>
        <v>0</v>
      </c>
      <c r="O29" s="26">
        <v>0</v>
      </c>
      <c r="P29" s="26">
        <v>0</v>
      </c>
      <c r="Q29" s="26">
        <v>0</v>
      </c>
      <c r="R29" s="26">
        <v>0</v>
      </c>
    </row>
    <row r="30" spans="2:18" ht="14.25">
      <c r="B30" s="9"/>
      <c r="C30" s="5" t="s">
        <v>21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M30" s="43">
        <f t="shared" si="4"/>
        <v>0</v>
      </c>
      <c r="O30" s="27">
        <v>0</v>
      </c>
      <c r="P30" s="27">
        <v>0</v>
      </c>
      <c r="Q30" s="27">
        <v>0</v>
      </c>
      <c r="R30" s="27">
        <v>0</v>
      </c>
    </row>
    <row r="31" ht="14.25">
      <c r="B31" s="182" t="s">
        <v>152</v>
      </c>
    </row>
    <row r="33" spans="4:13" ht="14.25">
      <c r="D33">
        <f>IF(D22&gt;0,1,0)</f>
        <v>0</v>
      </c>
      <c r="E33">
        <f aca="true" t="shared" si="5" ref="E33:K33">IF(E22&gt;0,1,0)</f>
        <v>1</v>
      </c>
      <c r="F33">
        <f t="shared" si="5"/>
        <v>0</v>
      </c>
      <c r="G33">
        <f t="shared" si="5"/>
        <v>0</v>
      </c>
      <c r="H33">
        <f t="shared" si="5"/>
        <v>0</v>
      </c>
      <c r="I33">
        <f t="shared" si="5"/>
        <v>0</v>
      </c>
      <c r="J33">
        <f t="shared" si="5"/>
        <v>0</v>
      </c>
      <c r="K33">
        <f t="shared" si="5"/>
        <v>0</v>
      </c>
      <c r="M33">
        <f aca="true" t="shared" si="6" ref="M33:M41">SUM(D33:K33)</f>
        <v>1</v>
      </c>
    </row>
    <row r="34" spans="4:13" ht="14.25">
      <c r="D34">
        <f aca="true" t="shared" si="7" ref="D34:K41">IF(D23&gt;0,1,0)</f>
        <v>1</v>
      </c>
      <c r="E34">
        <f t="shared" si="7"/>
        <v>1</v>
      </c>
      <c r="F34">
        <f t="shared" si="7"/>
        <v>0</v>
      </c>
      <c r="G34">
        <f t="shared" si="7"/>
        <v>0</v>
      </c>
      <c r="H34">
        <f t="shared" si="7"/>
        <v>1</v>
      </c>
      <c r="I34">
        <f t="shared" si="7"/>
        <v>1</v>
      </c>
      <c r="J34">
        <f t="shared" si="7"/>
        <v>1</v>
      </c>
      <c r="K34">
        <f t="shared" si="7"/>
        <v>0</v>
      </c>
      <c r="M34">
        <f t="shared" si="6"/>
        <v>5</v>
      </c>
    </row>
    <row r="35" spans="4:13" ht="14.25">
      <c r="D35">
        <f t="shared" si="7"/>
        <v>1</v>
      </c>
      <c r="E35">
        <f t="shared" si="7"/>
        <v>1</v>
      </c>
      <c r="F35">
        <f t="shared" si="7"/>
        <v>0</v>
      </c>
      <c r="G35">
        <f t="shared" si="7"/>
        <v>1</v>
      </c>
      <c r="H35">
        <f t="shared" si="7"/>
        <v>1</v>
      </c>
      <c r="I35">
        <f t="shared" si="7"/>
        <v>1</v>
      </c>
      <c r="J35">
        <f t="shared" si="7"/>
        <v>1</v>
      </c>
      <c r="K35">
        <f t="shared" si="7"/>
        <v>0</v>
      </c>
      <c r="M35">
        <f t="shared" si="6"/>
        <v>6</v>
      </c>
    </row>
    <row r="36" spans="4:13" ht="14.25">
      <c r="D36">
        <f t="shared" si="7"/>
        <v>0</v>
      </c>
      <c r="E36">
        <f t="shared" si="7"/>
        <v>0</v>
      </c>
      <c r="F36">
        <f t="shared" si="7"/>
        <v>0</v>
      </c>
      <c r="G36">
        <f t="shared" si="7"/>
        <v>1</v>
      </c>
      <c r="H36">
        <f t="shared" si="7"/>
        <v>0</v>
      </c>
      <c r="I36">
        <f t="shared" si="7"/>
        <v>0</v>
      </c>
      <c r="J36">
        <f t="shared" si="7"/>
        <v>1</v>
      </c>
      <c r="K36">
        <f t="shared" si="7"/>
        <v>0</v>
      </c>
      <c r="M36">
        <f t="shared" si="6"/>
        <v>2</v>
      </c>
    </row>
    <row r="37" spans="4:13" ht="14.25">
      <c r="D37">
        <f t="shared" si="7"/>
        <v>1</v>
      </c>
      <c r="E37">
        <f t="shared" si="7"/>
        <v>1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0</v>
      </c>
      <c r="J37">
        <f t="shared" si="7"/>
        <v>0</v>
      </c>
      <c r="K37">
        <f t="shared" si="7"/>
        <v>0</v>
      </c>
      <c r="M37">
        <f t="shared" si="6"/>
        <v>2</v>
      </c>
    </row>
    <row r="38" spans="4:13" ht="14.25">
      <c r="D38">
        <f t="shared" si="7"/>
        <v>0</v>
      </c>
      <c r="E38">
        <f t="shared" si="7"/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1</v>
      </c>
      <c r="K38">
        <f t="shared" si="7"/>
        <v>0</v>
      </c>
      <c r="M38">
        <f t="shared" si="6"/>
        <v>1</v>
      </c>
    </row>
    <row r="39" spans="4:13" ht="14.25">
      <c r="D39">
        <f t="shared" si="7"/>
        <v>0</v>
      </c>
      <c r="E39">
        <f t="shared" si="7"/>
        <v>0</v>
      </c>
      <c r="F39">
        <f t="shared" si="7"/>
        <v>0</v>
      </c>
      <c r="G39">
        <f t="shared" si="7"/>
        <v>1</v>
      </c>
      <c r="H39">
        <f t="shared" si="7"/>
        <v>1</v>
      </c>
      <c r="I39">
        <f t="shared" si="7"/>
        <v>1</v>
      </c>
      <c r="J39">
        <f t="shared" si="7"/>
        <v>1</v>
      </c>
      <c r="K39">
        <f t="shared" si="7"/>
        <v>0</v>
      </c>
      <c r="M39">
        <f t="shared" si="6"/>
        <v>4</v>
      </c>
    </row>
    <row r="40" spans="4:13" ht="14.25">
      <c r="D40">
        <f t="shared" si="7"/>
        <v>0</v>
      </c>
      <c r="E40">
        <f t="shared" si="7"/>
        <v>0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M40">
        <f t="shared" si="6"/>
        <v>0</v>
      </c>
    </row>
    <row r="41" spans="4:13" ht="14.25">
      <c r="D41">
        <f t="shared" si="7"/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M41">
        <f t="shared" si="6"/>
        <v>0</v>
      </c>
    </row>
  </sheetData>
  <sheetProtection/>
  <mergeCells count="13">
    <mergeCell ref="B19:C21"/>
    <mergeCell ref="H20:I20"/>
    <mergeCell ref="F20:G20"/>
    <mergeCell ref="D20:E20"/>
    <mergeCell ref="I4:J4"/>
    <mergeCell ref="D4:D5"/>
    <mergeCell ref="B4:C5"/>
    <mergeCell ref="E4:F4"/>
    <mergeCell ref="G4:H4"/>
    <mergeCell ref="O20:P20"/>
    <mergeCell ref="Q20:R20"/>
    <mergeCell ref="J20:K20"/>
    <mergeCell ref="D19:K19"/>
  </mergeCells>
  <printOptions/>
  <pageMargins left="0.7" right="0.56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2.57421875" style="0" customWidth="1"/>
    <col min="6" max="6" width="26.57421875" style="0" customWidth="1"/>
  </cols>
  <sheetData>
    <row r="2" spans="2:5" ht="15">
      <c r="B2" s="1" t="s">
        <v>50</v>
      </c>
      <c r="C2" s="34"/>
      <c r="D2" s="35">
        <f>SUM(E7:E10)</f>
        <v>2614728.525</v>
      </c>
      <c r="E2" s="36" t="s">
        <v>45</v>
      </c>
    </row>
    <row r="6" spans="2:5" ht="15">
      <c r="B6" s="53" t="s">
        <v>90</v>
      </c>
      <c r="C6" s="54"/>
      <c r="D6" s="61" t="s">
        <v>91</v>
      </c>
      <c r="E6" s="62" t="s">
        <v>84</v>
      </c>
    </row>
    <row r="7" spans="2:5" ht="14.25">
      <c r="B7" s="59" t="s">
        <v>85</v>
      </c>
      <c r="C7" s="48"/>
      <c r="D7" s="132">
        <v>0.005</v>
      </c>
      <c r="E7" s="67">
        <f>D7*'Basic parameters'!D8</f>
        <v>1444732.915</v>
      </c>
    </row>
    <row r="8" spans="2:5" ht="14.25">
      <c r="B8" s="60" t="s">
        <v>86</v>
      </c>
      <c r="C8" s="11"/>
      <c r="D8" s="133">
        <v>0.01</v>
      </c>
      <c r="E8" s="68">
        <f>D8*'Basic parameters'!D9</f>
        <v>758406.56</v>
      </c>
    </row>
    <row r="9" spans="2:5" ht="14.25">
      <c r="B9" s="60" t="s">
        <v>87</v>
      </c>
      <c r="C9" s="11"/>
      <c r="D9" s="133">
        <v>0.005</v>
      </c>
      <c r="E9" s="68">
        <f>D9*'Basic parameters'!D10</f>
        <v>401589.05</v>
      </c>
    </row>
    <row r="10" spans="2:5" ht="14.25">
      <c r="B10" s="50" t="s">
        <v>88</v>
      </c>
      <c r="C10" s="51"/>
      <c r="D10" s="134">
        <v>0.004</v>
      </c>
      <c r="E10" s="69">
        <f>D10*'Basic parameters'!D11</f>
        <v>10000</v>
      </c>
    </row>
    <row r="17" ht="15">
      <c r="B17" s="6" t="s">
        <v>89</v>
      </c>
    </row>
    <row r="19" spans="2:6" ht="14.25">
      <c r="B19" s="38" t="s">
        <v>46</v>
      </c>
      <c r="C19" s="38" t="s">
        <v>47</v>
      </c>
      <c r="D19" s="38" t="s">
        <v>29</v>
      </c>
      <c r="E19" s="38" t="s">
        <v>48</v>
      </c>
      <c r="F19" s="38" t="s">
        <v>49</v>
      </c>
    </row>
    <row r="20" spans="2:6" ht="14.25">
      <c r="B20" t="s">
        <v>154</v>
      </c>
      <c r="C20" s="38" t="s">
        <v>147</v>
      </c>
      <c r="D20" s="56">
        <v>96</v>
      </c>
      <c r="E20" s="57">
        <v>170000</v>
      </c>
      <c r="F20" s="58" t="s">
        <v>131</v>
      </c>
    </row>
    <row r="21" spans="2:6" ht="14.25">
      <c r="B21" t="s">
        <v>155</v>
      </c>
      <c r="C21" s="38" t="s">
        <v>153</v>
      </c>
      <c r="D21" s="56">
        <v>90</v>
      </c>
      <c r="E21" s="57">
        <f>1085209+471593</f>
        <v>1556802</v>
      </c>
      <c r="F21" s="58" t="s">
        <v>108</v>
      </c>
    </row>
    <row r="22" spans="2:6" ht="14.25">
      <c r="B22" t="s">
        <v>156</v>
      </c>
      <c r="C22" s="38" t="s">
        <v>148</v>
      </c>
      <c r="D22" s="56">
        <v>115</v>
      </c>
      <c r="E22" s="57">
        <v>2218420</v>
      </c>
      <c r="F22" s="58" t="s">
        <v>109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21.57421875" style="0" customWidth="1"/>
    <col min="3" max="3" width="26.28125" style="0" customWidth="1"/>
    <col min="4" max="4" width="19.57421875" style="0" customWidth="1"/>
    <col min="6" max="6" width="26.57421875" style="0" customWidth="1"/>
    <col min="9" max="9" width="14.421875" style="0" customWidth="1"/>
  </cols>
  <sheetData>
    <row r="2" spans="2:5" ht="15">
      <c r="B2" s="1" t="s">
        <v>51</v>
      </c>
      <c r="C2" s="34"/>
      <c r="D2" s="35">
        <f>F45</f>
        <v>2614192.06</v>
      </c>
      <c r="E2" s="36" t="s">
        <v>45</v>
      </c>
    </row>
    <row r="5" spans="2:7" ht="15">
      <c r="B5" s="83" t="s">
        <v>97</v>
      </c>
      <c r="C5" s="83"/>
      <c r="D5" s="83"/>
      <c r="E5" s="83"/>
      <c r="F5" s="83"/>
      <c r="G5" s="83"/>
    </row>
    <row r="7" spans="1:7" ht="15" thickBot="1">
      <c r="A7" s="84"/>
      <c r="B7" s="84"/>
      <c r="C7" s="84"/>
      <c r="D7" s="84"/>
      <c r="E7" s="84"/>
      <c r="F7" s="84"/>
      <c r="G7" s="84"/>
    </row>
    <row r="8" spans="1:7" ht="16.5">
      <c r="A8" s="84"/>
      <c r="B8" s="85" t="s">
        <v>30</v>
      </c>
      <c r="C8" s="86" t="s">
        <v>31</v>
      </c>
      <c r="D8" s="85" t="s">
        <v>32</v>
      </c>
      <c r="E8" s="87" t="s">
        <v>96</v>
      </c>
      <c r="F8" s="85" t="s">
        <v>33</v>
      </c>
      <c r="G8" s="88"/>
    </row>
    <row r="9" spans="1:7" ht="15">
      <c r="A9" s="88"/>
      <c r="B9" s="89"/>
      <c r="C9" s="90"/>
      <c r="D9" s="89" t="s">
        <v>34</v>
      </c>
      <c r="E9" s="91"/>
      <c r="F9" s="89"/>
      <c r="G9" s="88"/>
    </row>
    <row r="10" spans="1:8" ht="15.75" thickBot="1">
      <c r="A10" s="88"/>
      <c r="B10" s="92"/>
      <c r="C10" s="93"/>
      <c r="D10" s="92" t="s">
        <v>35</v>
      </c>
      <c r="E10" s="94" t="s">
        <v>35</v>
      </c>
      <c r="F10" s="92" t="s">
        <v>35</v>
      </c>
      <c r="G10" s="88"/>
      <c r="H10" s="125" t="s">
        <v>132</v>
      </c>
    </row>
    <row r="11" spans="1:10" ht="15">
      <c r="A11" s="88"/>
      <c r="B11" s="95" t="s">
        <v>67</v>
      </c>
      <c r="C11" s="42"/>
      <c r="D11" s="96"/>
      <c r="E11" s="97"/>
      <c r="F11" s="97"/>
      <c r="G11" s="98"/>
      <c r="H11" s="125" t="s">
        <v>41</v>
      </c>
      <c r="I11" s="135">
        <v>50000000</v>
      </c>
      <c r="J11" s="126" t="s">
        <v>84</v>
      </c>
    </row>
    <row r="12" spans="1:10" ht="15">
      <c r="A12" s="98"/>
      <c r="B12" s="95" t="s">
        <v>68</v>
      </c>
      <c r="C12" s="42" t="s">
        <v>133</v>
      </c>
      <c r="D12" s="99">
        <f>'Basic parameters'!D8</f>
        <v>288946583</v>
      </c>
      <c r="E12" s="100">
        <v>1.2</v>
      </c>
      <c r="F12" s="101">
        <f>ROUND(D12*E12/1000,0)</f>
        <v>346736</v>
      </c>
      <c r="G12" s="88"/>
      <c r="H12" s="127" t="s">
        <v>42</v>
      </c>
      <c r="I12" s="135">
        <v>100000000</v>
      </c>
      <c r="J12" s="126" t="s">
        <v>84</v>
      </c>
    </row>
    <row r="13" spans="1:10" ht="15">
      <c r="A13" s="88"/>
      <c r="B13" s="95"/>
      <c r="C13" s="42" t="s">
        <v>69</v>
      </c>
      <c r="D13" s="99"/>
      <c r="E13" s="100"/>
      <c r="F13" s="101"/>
      <c r="G13" s="88"/>
      <c r="H13" s="127" t="s">
        <v>43</v>
      </c>
      <c r="I13" s="135">
        <v>250000000</v>
      </c>
      <c r="J13" s="126" t="s">
        <v>84</v>
      </c>
    </row>
    <row r="14" spans="1:7" ht="15">
      <c r="A14" s="88"/>
      <c r="B14" s="95"/>
      <c r="C14" s="42" t="s">
        <v>134</v>
      </c>
      <c r="D14" s="99">
        <f>IF('Basic parameters'!$D$4&gt;'Basic parameters'!$D$19,$I$13,IF('Basic parameters'!$D$4&gt;'Basic parameters'!$D$18,$I$12,$I$11))</f>
        <v>50000000</v>
      </c>
      <c r="E14" s="100">
        <v>0.6</v>
      </c>
      <c r="F14" s="101">
        <f>ROUND(D14*E14/1000,0)</f>
        <v>30000</v>
      </c>
      <c r="G14" s="88"/>
    </row>
    <row r="15" spans="1:7" ht="15">
      <c r="A15" s="88"/>
      <c r="B15" s="95"/>
      <c r="C15" s="42" t="s">
        <v>70</v>
      </c>
      <c r="D15" s="99"/>
      <c r="E15" s="100"/>
      <c r="F15" s="101"/>
      <c r="G15" s="88"/>
    </row>
    <row r="16" spans="1:7" ht="15">
      <c r="A16" s="88"/>
      <c r="B16" s="95"/>
      <c r="C16" s="42" t="s">
        <v>71</v>
      </c>
      <c r="D16" s="99">
        <f>D12</f>
        <v>288946583</v>
      </c>
      <c r="E16" s="100">
        <v>1.3</v>
      </c>
      <c r="F16" s="101">
        <f aca="true" t="shared" si="0" ref="F16:F21">ROUND(D16*E16/1000,0)</f>
        <v>375631</v>
      </c>
      <c r="G16" s="88"/>
    </row>
    <row r="17" spans="1:7" ht="15">
      <c r="A17" s="88"/>
      <c r="B17" s="95"/>
      <c r="C17" s="42" t="s">
        <v>72</v>
      </c>
      <c r="D17" s="99">
        <f>10%*D12</f>
        <v>28894658.3</v>
      </c>
      <c r="E17" s="100">
        <v>0.8</v>
      </c>
      <c r="F17" s="101">
        <f t="shared" si="0"/>
        <v>23116</v>
      </c>
      <c r="G17" s="88"/>
    </row>
    <row r="18" spans="1:7" ht="15">
      <c r="A18" s="88"/>
      <c r="B18" s="95"/>
      <c r="C18" s="42" t="s">
        <v>73</v>
      </c>
      <c r="D18" s="99">
        <f>30%*D12</f>
        <v>86683974.89999999</v>
      </c>
      <c r="E18" s="100">
        <v>1</v>
      </c>
      <c r="F18" s="101">
        <f t="shared" si="0"/>
        <v>86684</v>
      </c>
      <c r="G18" s="88"/>
    </row>
    <row r="19" spans="1:7" ht="15">
      <c r="A19" s="88"/>
      <c r="B19" s="95"/>
      <c r="C19" s="42" t="s">
        <v>74</v>
      </c>
      <c r="D19" s="42">
        <f>10%*D12</f>
        <v>28894658.3</v>
      </c>
      <c r="E19" s="100">
        <v>2</v>
      </c>
      <c r="F19" s="101">
        <f t="shared" si="0"/>
        <v>57789</v>
      </c>
      <c r="G19" s="88"/>
    </row>
    <row r="20" spans="1:7" ht="15">
      <c r="A20" s="88"/>
      <c r="B20" s="95"/>
      <c r="C20" s="42" t="s">
        <v>75</v>
      </c>
      <c r="D20" s="42">
        <f>5%*D12</f>
        <v>14447329.15</v>
      </c>
      <c r="E20" s="100">
        <v>1.3</v>
      </c>
      <c r="F20" s="101">
        <f t="shared" si="0"/>
        <v>18782</v>
      </c>
      <c r="G20" s="88"/>
    </row>
    <row r="21" spans="1:7" ht="15">
      <c r="A21" s="88"/>
      <c r="B21" s="95"/>
      <c r="C21" s="42" t="s">
        <v>76</v>
      </c>
      <c r="D21" s="99">
        <f>D12*30%</f>
        <v>86683974.89999999</v>
      </c>
      <c r="E21" s="100">
        <v>0.6</v>
      </c>
      <c r="F21" s="101">
        <f t="shared" si="0"/>
        <v>52010</v>
      </c>
      <c r="G21" s="88"/>
    </row>
    <row r="22" spans="1:7" ht="15">
      <c r="A22" s="88"/>
      <c r="B22" s="95"/>
      <c r="C22" s="42"/>
      <c r="D22" s="99"/>
      <c r="E22" s="100"/>
      <c r="F22" s="101"/>
      <c r="G22" s="88"/>
    </row>
    <row r="23" spans="1:7" ht="15">
      <c r="A23" s="88"/>
      <c r="B23" s="95" t="s">
        <v>77</v>
      </c>
      <c r="C23" s="42" t="s">
        <v>133</v>
      </c>
      <c r="D23" s="99">
        <f>'Basic parameters'!D9</f>
        <v>75840656</v>
      </c>
      <c r="E23" s="100">
        <v>1.2</v>
      </c>
      <c r="F23" s="101">
        <f>ROUND(D23*E23/1000,0)</f>
        <v>91009</v>
      </c>
      <c r="G23" s="88"/>
    </row>
    <row r="24" spans="1:7" ht="14.25">
      <c r="A24" s="88"/>
      <c r="B24" s="102"/>
      <c r="C24" s="42" t="s">
        <v>69</v>
      </c>
      <c r="D24" s="99"/>
      <c r="E24" s="100"/>
      <c r="F24" s="101"/>
      <c r="G24" s="88"/>
    </row>
    <row r="25" spans="1:7" ht="14.25">
      <c r="A25" s="88"/>
      <c r="B25" s="102"/>
      <c r="C25" s="42" t="s">
        <v>71</v>
      </c>
      <c r="D25" s="99">
        <f>D23</f>
        <v>75840656</v>
      </c>
      <c r="E25" s="103">
        <v>1.3</v>
      </c>
      <c r="F25" s="101">
        <f>ROUND(D25*E25/1000,0)</f>
        <v>98593</v>
      </c>
      <c r="G25" s="88"/>
    </row>
    <row r="26" spans="1:7" ht="14.25">
      <c r="A26" s="88"/>
      <c r="B26" s="102"/>
      <c r="C26" s="42" t="s">
        <v>72</v>
      </c>
      <c r="D26" s="99">
        <f>10%*D23</f>
        <v>7584065.600000001</v>
      </c>
      <c r="E26" s="100">
        <v>0.8</v>
      </c>
      <c r="F26" s="101">
        <f>ROUND(D26*E26/1000,0)</f>
        <v>6067</v>
      </c>
      <c r="G26" s="88"/>
    </row>
    <row r="27" spans="1:7" ht="14.25">
      <c r="A27" s="88"/>
      <c r="B27" s="102"/>
      <c r="C27" s="42" t="s">
        <v>76</v>
      </c>
      <c r="D27" s="99">
        <f>30%*D23</f>
        <v>22752196.8</v>
      </c>
      <c r="E27" s="104">
        <v>1.3</v>
      </c>
      <c r="F27" s="101">
        <f>ROUND(D27*E27/1000,0)</f>
        <v>29578</v>
      </c>
      <c r="G27" s="88"/>
    </row>
    <row r="28" spans="1:7" ht="14.25">
      <c r="A28" s="88"/>
      <c r="B28" s="105"/>
      <c r="C28" s="42" t="s">
        <v>78</v>
      </c>
      <c r="D28" s="99">
        <f>D23</f>
        <v>75840656</v>
      </c>
      <c r="E28" s="104">
        <v>10</v>
      </c>
      <c r="F28" s="101">
        <f>ROUND(D28*E28/1000,0)</f>
        <v>758407</v>
      </c>
      <c r="G28" s="88"/>
    </row>
    <row r="29" spans="1:7" ht="14.25">
      <c r="A29" s="88"/>
      <c r="B29" s="105"/>
      <c r="C29" s="42" t="s">
        <v>79</v>
      </c>
      <c r="D29" s="99"/>
      <c r="E29" s="104"/>
      <c r="F29" s="106"/>
      <c r="G29" s="98"/>
    </row>
    <row r="30" spans="1:7" ht="14.25">
      <c r="A30" s="98"/>
      <c r="B30" s="105"/>
      <c r="C30" s="42"/>
      <c r="D30" s="99"/>
      <c r="E30" s="104"/>
      <c r="F30" s="106"/>
      <c r="G30" s="98"/>
    </row>
    <row r="31" spans="1:7" ht="15">
      <c r="A31" s="98"/>
      <c r="B31" s="107" t="s">
        <v>80</v>
      </c>
      <c r="C31" s="42" t="s">
        <v>133</v>
      </c>
      <c r="D31" s="99">
        <f>'Basic parameters'!D10</f>
        <v>80317810</v>
      </c>
      <c r="E31" s="104">
        <v>1.2</v>
      </c>
      <c r="F31" s="101">
        <f>ROUND(D31*E31/1000,0)</f>
        <v>96381</v>
      </c>
      <c r="G31" s="88"/>
    </row>
    <row r="32" spans="1:7" ht="14.25">
      <c r="A32" s="88"/>
      <c r="B32" s="105"/>
      <c r="C32" s="42" t="s">
        <v>69</v>
      </c>
      <c r="D32" s="99"/>
      <c r="E32" s="104"/>
      <c r="F32" s="101"/>
      <c r="G32" s="88"/>
    </row>
    <row r="33" spans="1:7" ht="14.25">
      <c r="A33" s="88"/>
      <c r="B33" s="105"/>
      <c r="C33" s="42" t="s">
        <v>134</v>
      </c>
      <c r="D33" s="99">
        <f>IF('Basic parameters'!$D$4&gt;'Basic parameters'!$D$19,$I$13,IF('Basic parameters'!$D$4&gt;'Basic parameters'!$D$18,$I$12,$I$11))</f>
        <v>50000000</v>
      </c>
      <c r="E33" s="100">
        <v>0.6</v>
      </c>
      <c r="F33" s="101">
        <f>ROUND(D33*E33/1000,0)</f>
        <v>30000</v>
      </c>
      <c r="G33" s="88"/>
    </row>
    <row r="34" spans="1:7" ht="14.25">
      <c r="A34" s="88"/>
      <c r="B34" s="105"/>
      <c r="C34" s="42" t="s">
        <v>70</v>
      </c>
      <c r="D34" s="99"/>
      <c r="E34" s="100"/>
      <c r="F34" s="101"/>
      <c r="G34" s="88"/>
    </row>
    <row r="35" spans="1:7" ht="14.25">
      <c r="A35" s="88"/>
      <c r="B35" s="105"/>
      <c r="C35" s="42" t="s">
        <v>71</v>
      </c>
      <c r="D35" s="99">
        <f>D31</f>
        <v>80317810</v>
      </c>
      <c r="E35" s="104">
        <v>1.3</v>
      </c>
      <c r="F35" s="101">
        <f>ROUND(D35*E35/1000,0)</f>
        <v>104413</v>
      </c>
      <c r="G35" s="88"/>
    </row>
    <row r="36" spans="1:7" ht="14.25">
      <c r="A36" s="88"/>
      <c r="B36" s="105"/>
      <c r="C36" s="42" t="s">
        <v>75</v>
      </c>
      <c r="D36" s="99">
        <f>D31*5%</f>
        <v>4015890.5</v>
      </c>
      <c r="E36" s="100">
        <v>1.3</v>
      </c>
      <c r="F36" s="101">
        <f>ROUND(D36*E36/1000,0)</f>
        <v>5221</v>
      </c>
      <c r="G36" s="88"/>
    </row>
    <row r="37" spans="1:7" ht="14.25">
      <c r="A37" s="88"/>
      <c r="B37" s="105"/>
      <c r="C37" s="42"/>
      <c r="D37" s="99"/>
      <c r="E37" s="100"/>
      <c r="F37" s="101"/>
      <c r="G37" s="88"/>
    </row>
    <row r="38" spans="1:7" ht="15" thickBot="1">
      <c r="A38" s="88"/>
      <c r="B38" s="108"/>
      <c r="C38" s="109"/>
      <c r="D38" s="110"/>
      <c r="E38" s="111"/>
      <c r="F38" s="112"/>
      <c r="G38" s="98"/>
    </row>
    <row r="39" spans="1:7" ht="15">
      <c r="A39" s="98"/>
      <c r="B39" s="180" t="s">
        <v>36</v>
      </c>
      <c r="C39" s="181"/>
      <c r="D39" s="113"/>
      <c r="E39" s="114"/>
      <c r="F39" s="115">
        <f>ROUND(SUM(F12:F38),0)</f>
        <v>2210417</v>
      </c>
      <c r="G39" s="88"/>
    </row>
    <row r="40" spans="1:7" ht="15.75" thickBot="1">
      <c r="A40" s="88"/>
      <c r="B40" s="116"/>
      <c r="C40" s="117"/>
      <c r="D40" s="118"/>
      <c r="E40" s="119"/>
      <c r="F40" s="120"/>
      <c r="G40" s="88"/>
    </row>
    <row r="41" spans="1:7" ht="15">
      <c r="A41" s="88"/>
      <c r="B41" s="180" t="s">
        <v>37</v>
      </c>
      <c r="C41" s="181"/>
      <c r="D41" s="113"/>
      <c r="E41" s="114"/>
      <c r="F41" s="115">
        <v>5000</v>
      </c>
      <c r="G41" s="88"/>
    </row>
    <row r="42" spans="1:7" ht="15.75" thickBot="1">
      <c r="A42" s="88"/>
      <c r="B42" s="116"/>
      <c r="C42" s="117"/>
      <c r="D42" s="118"/>
      <c r="E42" s="119"/>
      <c r="F42" s="120"/>
      <c r="G42" s="88"/>
    </row>
    <row r="43" spans="1:7" ht="15">
      <c r="A43" s="88"/>
      <c r="B43" s="180" t="s">
        <v>38</v>
      </c>
      <c r="C43" s="181"/>
      <c r="D43" s="113"/>
      <c r="E43" s="114"/>
      <c r="F43" s="115">
        <f>(F39+F41)*18%</f>
        <v>398775.06</v>
      </c>
      <c r="G43" s="88"/>
    </row>
    <row r="44" spans="1:7" ht="15.75" thickBot="1">
      <c r="A44" s="88"/>
      <c r="B44" s="116"/>
      <c r="C44" s="117"/>
      <c r="D44" s="118"/>
      <c r="E44" s="119"/>
      <c r="F44" s="120"/>
      <c r="G44" s="88"/>
    </row>
    <row r="45" spans="1:7" ht="15">
      <c r="A45" s="88"/>
      <c r="B45" s="180" t="s">
        <v>39</v>
      </c>
      <c r="C45" s="181"/>
      <c r="D45" s="113"/>
      <c r="E45" s="114"/>
      <c r="F45" s="115">
        <f>F39+F41+F43</f>
        <v>2614192.06</v>
      </c>
      <c r="G45" s="88"/>
    </row>
    <row r="46" spans="1:7" ht="15" thickBot="1">
      <c r="A46" s="88"/>
      <c r="B46" s="108"/>
      <c r="C46" s="121"/>
      <c r="D46" s="122"/>
      <c r="E46" s="123"/>
      <c r="F46" s="124"/>
      <c r="G46" s="98"/>
    </row>
    <row r="47" spans="1:7" ht="14.25">
      <c r="A47" s="98"/>
      <c r="B47" s="98"/>
      <c r="C47" s="98"/>
      <c r="D47" s="98"/>
      <c r="E47" s="98"/>
      <c r="F47" s="98"/>
      <c r="G47" s="98"/>
    </row>
    <row r="48" spans="1:7" ht="14.25">
      <c r="A48" s="98"/>
      <c r="B48" s="98"/>
      <c r="C48" s="98"/>
      <c r="D48" s="98"/>
      <c r="E48" s="98"/>
      <c r="F48" s="98"/>
      <c r="G48" s="98"/>
    </row>
    <row r="49" spans="1:7" ht="14.25">
      <c r="A49" s="98"/>
      <c r="B49" s="98"/>
      <c r="C49" s="98"/>
      <c r="D49" s="98"/>
      <c r="E49" s="98"/>
      <c r="F49" s="98"/>
      <c r="G49" s="98"/>
    </row>
    <row r="50" ht="15">
      <c r="B50" s="6" t="s">
        <v>89</v>
      </c>
    </row>
    <row r="52" spans="2:7" ht="14.25">
      <c r="B52" s="38" t="s">
        <v>46</v>
      </c>
      <c r="C52" s="38" t="s">
        <v>47</v>
      </c>
      <c r="D52" s="38" t="s">
        <v>60</v>
      </c>
      <c r="E52" s="38" t="s">
        <v>29</v>
      </c>
      <c r="F52" s="38" t="s">
        <v>48</v>
      </c>
      <c r="G52" s="38" t="s">
        <v>49</v>
      </c>
    </row>
    <row r="53" spans="2:7" ht="14.25">
      <c r="B53" t="s">
        <v>154</v>
      </c>
      <c r="C53" s="38" t="s">
        <v>147</v>
      </c>
      <c r="D53" s="38" t="s">
        <v>61</v>
      </c>
      <c r="E53" s="56">
        <v>96</v>
      </c>
      <c r="F53" s="57">
        <f>400000+80000</f>
        <v>480000</v>
      </c>
      <c r="G53" s="58" t="s">
        <v>113</v>
      </c>
    </row>
    <row r="54" spans="3:7" ht="14.25">
      <c r="C54" s="38"/>
      <c r="D54" s="38"/>
      <c r="E54" s="39"/>
      <c r="F54" s="40"/>
      <c r="G54" s="41"/>
    </row>
    <row r="55" spans="3:7" ht="14.25">
      <c r="C55" s="38"/>
      <c r="D55" s="38"/>
      <c r="E55" s="39"/>
      <c r="F55" s="40"/>
      <c r="G55" s="41"/>
    </row>
    <row r="56" spans="3:7" ht="14.25">
      <c r="C56" s="38"/>
      <c r="D56" s="38"/>
      <c r="E56" s="39"/>
      <c r="F56" s="40"/>
      <c r="G56" s="41"/>
    </row>
    <row r="57" spans="3:7" ht="14.25">
      <c r="C57" s="38"/>
      <c r="D57" s="38"/>
      <c r="E57" s="39"/>
      <c r="F57" s="40"/>
      <c r="G57" s="41"/>
    </row>
    <row r="58" spans="3:7" ht="14.25">
      <c r="C58" s="38"/>
      <c r="D58" s="38"/>
      <c r="E58" s="39"/>
      <c r="F58" s="40"/>
      <c r="G58" s="41"/>
    </row>
    <row r="59" spans="3:7" ht="14.25">
      <c r="C59" s="38"/>
      <c r="D59" s="38"/>
      <c r="E59" s="39"/>
      <c r="F59" s="40"/>
      <c r="G59" s="41"/>
    </row>
  </sheetData>
  <mergeCells count="4">
    <mergeCell ref="B45:C45"/>
    <mergeCell ref="B39:C39"/>
    <mergeCell ref="B41:C41"/>
    <mergeCell ref="B43:C4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6.00390625" style="0" customWidth="1"/>
    <col min="5" max="5" width="13.140625" style="0" customWidth="1"/>
    <col min="6" max="6" width="9.57421875" style="0" customWidth="1"/>
  </cols>
  <sheetData>
    <row r="2" spans="2:5" ht="15">
      <c r="B2" s="1" t="s">
        <v>52</v>
      </c>
      <c r="C2" s="34"/>
      <c r="D2" s="35">
        <f>E5+E11</f>
        <v>273312</v>
      </c>
      <c r="E2" s="36" t="s">
        <v>45</v>
      </c>
    </row>
    <row r="5" spans="2:6" ht="15">
      <c r="B5" s="138" t="s">
        <v>104</v>
      </c>
      <c r="C5" s="139"/>
      <c r="D5" s="139"/>
      <c r="E5" s="141">
        <f>'Basic parameters'!D22*E9</f>
        <v>273312</v>
      </c>
      <c r="F5" s="139" t="s">
        <v>84</v>
      </c>
    </row>
    <row r="6" spans="3:8" ht="14.25">
      <c r="C6" t="s">
        <v>100</v>
      </c>
      <c r="E6" s="137">
        <v>0.65</v>
      </c>
      <c r="H6" t="s">
        <v>103</v>
      </c>
    </row>
    <row r="7" spans="3:9" ht="14.25">
      <c r="C7" t="s">
        <v>101</v>
      </c>
      <c r="E7" s="43">
        <f>'Basic parameters'!D4*365*24*E6</f>
        <v>1138800</v>
      </c>
      <c r="F7" t="s">
        <v>107</v>
      </c>
      <c r="H7" s="125" t="s">
        <v>41</v>
      </c>
      <c r="I7" s="137">
        <v>0.004</v>
      </c>
    </row>
    <row r="8" spans="3:9" ht="14.25">
      <c r="C8" t="s">
        <v>102</v>
      </c>
      <c r="E8" s="66">
        <f>IF('Basic parameters'!$D$4&gt;'Basic parameters'!$D$19,I9,IF('Basic parameters'!$D$4&gt;'Basic parameters'!$D$18,I8,I7))</f>
        <v>0.004</v>
      </c>
      <c r="H8" s="127" t="s">
        <v>42</v>
      </c>
      <c r="I8" s="137">
        <v>0.002</v>
      </c>
    </row>
    <row r="9" spans="3:9" ht="14.25">
      <c r="C9" t="s">
        <v>135</v>
      </c>
      <c r="E9" s="43">
        <f>E7*E8</f>
        <v>4555.2</v>
      </c>
      <c r="F9" t="s">
        <v>107</v>
      </c>
      <c r="H9" s="127" t="s">
        <v>43</v>
      </c>
      <c r="I9" s="137">
        <v>0.001</v>
      </c>
    </row>
    <row r="11" spans="2:6" ht="15">
      <c r="B11" s="138" t="s">
        <v>105</v>
      </c>
      <c r="C11" s="139"/>
      <c r="D11" s="139"/>
      <c r="E11" s="140">
        <v>0</v>
      </c>
      <c r="F11" s="139" t="s">
        <v>84</v>
      </c>
    </row>
    <row r="12" ht="14.25">
      <c r="C12" s="136" t="s">
        <v>106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f>25000*12</f>
        <v>300000</v>
      </c>
      <c r="F21" s="58" t="s">
        <v>114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3" width="12.8515625" style="0" customWidth="1"/>
    <col min="6" max="6" width="26.57421875" style="0" customWidth="1"/>
  </cols>
  <sheetData>
    <row r="2" spans="2:5" ht="15">
      <c r="B2" s="1" t="s">
        <v>53</v>
      </c>
      <c r="C2" s="34"/>
      <c r="D2" s="35">
        <f>IF('Basic parameters'!D4&gt;'Basic parameters'!D19,C8,IF('Basic parameters'!D4&gt;'Basic parameters'!D18,C7,C6))</f>
        <v>250000</v>
      </c>
      <c r="E2" s="36" t="s">
        <v>45</v>
      </c>
    </row>
    <row r="6" spans="2:4" ht="14.25">
      <c r="B6" s="125" t="s">
        <v>41</v>
      </c>
      <c r="C6" s="135">
        <v>250000</v>
      </c>
      <c r="D6" s="126" t="s">
        <v>84</v>
      </c>
    </row>
    <row r="7" spans="2:4" ht="14.25">
      <c r="B7" s="127" t="s">
        <v>42</v>
      </c>
      <c r="C7" s="135">
        <v>450000</v>
      </c>
      <c r="D7" s="126" t="s">
        <v>84</v>
      </c>
    </row>
    <row r="8" spans="2:4" ht="14.25">
      <c r="B8" s="127" t="s">
        <v>43</v>
      </c>
      <c r="C8" s="135">
        <v>700000</v>
      </c>
      <c r="D8" s="126" t="s">
        <v>84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120000</v>
      </c>
      <c r="F21" s="58" t="s">
        <v>112</v>
      </c>
    </row>
    <row r="22" spans="2:6" ht="14.25">
      <c r="B22" t="s">
        <v>155</v>
      </c>
      <c r="C22" s="38" t="s">
        <v>153</v>
      </c>
      <c r="D22" s="56">
        <v>90</v>
      </c>
      <c r="E22" s="57">
        <v>726697</v>
      </c>
      <c r="F22" s="58" t="s">
        <v>108</v>
      </c>
    </row>
    <row r="23" spans="2:6" ht="14.25">
      <c r="B23" t="s">
        <v>156</v>
      </c>
      <c r="C23" s="38" t="s">
        <v>148</v>
      </c>
      <c r="D23" s="56">
        <v>115</v>
      </c>
      <c r="E23" s="57">
        <v>500000</v>
      </c>
      <c r="F23" s="58" t="s">
        <v>109</v>
      </c>
    </row>
    <row r="24" spans="3:6" ht="14.25">
      <c r="C24" s="38"/>
      <c r="E24" s="57"/>
      <c r="F24" s="58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6" max="6" width="26.57421875" style="0" customWidth="1"/>
  </cols>
  <sheetData>
    <row r="2" spans="2:5" ht="15">
      <c r="B2" s="1" t="s">
        <v>54</v>
      </c>
      <c r="C2" s="34"/>
      <c r="D2" s="35">
        <f>F5*'Basic parameters'!J8</f>
        <v>556381.31125</v>
      </c>
      <c r="E2" s="36" t="s">
        <v>45</v>
      </c>
    </row>
    <row r="5" spans="2:6" ht="14.25">
      <c r="B5" t="s">
        <v>110</v>
      </c>
      <c r="F5" s="143">
        <v>0.00125</v>
      </c>
    </row>
    <row r="18" ht="15">
      <c r="B18" s="6" t="s">
        <v>89</v>
      </c>
    </row>
    <row r="20" spans="2:6" ht="14.25">
      <c r="B20" s="38" t="s">
        <v>46</v>
      </c>
      <c r="C20" s="38" t="s">
        <v>47</v>
      </c>
      <c r="D20" s="38" t="s">
        <v>29</v>
      </c>
      <c r="E20" s="38" t="s">
        <v>48</v>
      </c>
      <c r="F20" s="38" t="s">
        <v>49</v>
      </c>
    </row>
    <row r="21" spans="2:6" ht="14.25">
      <c r="B21" t="s">
        <v>154</v>
      </c>
      <c r="C21" s="38" t="s">
        <v>147</v>
      </c>
      <c r="D21" s="56">
        <v>96</v>
      </c>
      <c r="E21" s="57">
        <v>245000</v>
      </c>
      <c r="F21" s="58" t="s">
        <v>112</v>
      </c>
    </row>
    <row r="22" spans="3:6" ht="14.25">
      <c r="C22" s="38" t="s">
        <v>146</v>
      </c>
      <c r="D22" s="56"/>
      <c r="E22" s="57"/>
      <c r="F22" s="58" t="s">
        <v>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Davraj Singh</dc:creator>
  <cp:keywords/>
  <dc:description/>
  <cp:lastModifiedBy>Mario</cp:lastModifiedBy>
  <cp:lastPrinted>2010-07-16T05:59:41Z</cp:lastPrinted>
  <dcterms:created xsi:type="dcterms:W3CDTF">2008-03-19T13:26:52Z</dcterms:created>
  <dcterms:modified xsi:type="dcterms:W3CDTF">2011-04-18T14:25:09Z</dcterms:modified>
  <cp:category/>
  <cp:version/>
  <cp:contentType/>
  <cp:contentStatus/>
</cp:coreProperties>
</file>