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45" yWindow="45" windowWidth="14745" windowHeight="8835" tabRatio="750" firstSheet="3" activeTab="15"/>
  </bookViews>
  <sheets>
    <sheet name="Total_Project List" sheetId="1" r:id="rId1"/>
    <sheet name="Total_Electric Field List" sheetId="13" r:id="rId2"/>
    <sheet name="to be present " sheetId="15" r:id="rId3"/>
    <sheet name="TDY" sheetId="2" r:id="rId4"/>
    <sheet name="LPD" sheetId="3" r:id="rId5"/>
    <sheet name="MIL" sheetId="4" r:id="rId6"/>
    <sheet name="MNO" sheetId="5" r:id="rId7"/>
    <sheet name="OKP" sheetId="6" r:id="rId8"/>
    <sheet name="GBK" sheetId="7" r:id="rId9"/>
    <sheet name="ZGN" sheetId="8" r:id="rId10"/>
    <sheet name="NAT" sheetId="9" r:id="rId11"/>
    <sheet name="PYAY" sheetId="10" r:id="rId12"/>
    <sheet name="Sheet12" sheetId="12" r:id="rId13"/>
    <sheet name="Sheet2" sheetId="14" r:id="rId14"/>
    <sheet name="TOTAL MATERIALS" sheetId="16" r:id="rId15"/>
    <sheet name="TOTAL MATERIALS (2)" sheetId="17" r:id="rId16"/>
  </sheets>
  <definedNames>
    <definedName name="_xlnm.Print_Titles" localSheetId="12">Sheet12!$1:$2</definedName>
  </definedNames>
  <calcPr calcId="125725" iterate="1"/>
  <oleSize ref="A13:D22"/>
</workbook>
</file>

<file path=xl/sharedStrings.xml><?xml version="1.0" encoding="utf-8"?>
<sst xmlns="http://schemas.openxmlformats.org/spreadsheetml/2006/main" count="2870" uniqueCount="1118">
  <si>
    <t>သာယာဝတီမြို့နယ်အတွင်း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</si>
  <si>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စဉ်</t>
  </si>
  <si>
    <t>အိမ်ထောင်စု</t>
  </si>
  <si>
    <t>တည်ဆောက်မည့်လုပ်ငန်း</t>
  </si>
  <si>
    <t>၁၁ ကေဗွီ လိုင်း(မိုင်)</t>
  </si>
  <si>
    <t>၃၃/၁၁ ကေဗွီ ထရန် စဖော်မာ</t>
  </si>
  <si>
    <t>၁၁/၀.၄ ကေဗွီ
ထရန်စဖော်မာ</t>
  </si>
  <si>
    <t>လုပ်အားခ</t>
  </si>
  <si>
    <t>စုစုပေါင်း</t>
  </si>
  <si>
    <t>ကေဗွီအေ</t>
  </si>
  <si>
    <t>လုံး</t>
  </si>
  <si>
    <t>ပြည်</t>
  </si>
  <si>
    <t>ပန်းတောင်း</t>
  </si>
  <si>
    <t>သဲကုန်း</t>
  </si>
  <si>
    <t>လက်ပံတန်း</t>
  </si>
  <si>
    <t>မင်းလှ</t>
  </si>
  <si>
    <t>မိုးညို</t>
  </si>
  <si>
    <t>ထိန်တော</t>
  </si>
  <si>
    <t>အုတ်ဖို</t>
  </si>
  <si>
    <t>ကြို့ပင်ကောက်</t>
  </si>
  <si>
    <t>ဇီးကုန်း</t>
  </si>
  <si>
    <t>ကျေးရွာအမည်</t>
  </si>
  <si>
    <t>ပစ္စည်း တန်ဖိုး</t>
  </si>
  <si>
    <t>ကျွန်းကုန်း</t>
  </si>
  <si>
    <t>‌အောက်ချောင်းသုံးခွ</t>
  </si>
  <si>
    <t>ဇလုပ်</t>
  </si>
  <si>
    <t>ကျွဲသတ်ကလေး</t>
  </si>
  <si>
    <t>ကျားမနိုင်</t>
  </si>
  <si>
    <t>စမ်းတွင်း</t>
  </si>
  <si>
    <t>တောရာကုန်း</t>
  </si>
  <si>
    <t>ချောင်းသုံးခွ</t>
  </si>
  <si>
    <t>ဂုံမင်းမြောင်အရှေ့စု</t>
  </si>
  <si>
    <t>၀.၅</t>
  </si>
  <si>
    <t>၂၀၀</t>
  </si>
  <si>
    <t>​မြောက်သင်တောရိုး</t>
  </si>
  <si>
    <t>၁</t>
  </si>
  <si>
    <t>၅၀</t>
  </si>
  <si>
    <t>တောင်သင်တောရိုး</t>
  </si>
  <si>
    <t>၁၀၀</t>
  </si>
  <si>
    <t>ကျွဲသတ်ကြီး</t>
  </si>
  <si>
    <t>၀.၂</t>
  </si>
  <si>
    <t>လိပ်ဥကုန်း</t>
  </si>
  <si>
    <t>၀.၆</t>
  </si>
  <si>
    <t>ဆင်လမ်း</t>
  </si>
  <si>
    <t>စာဖြူစု</t>
  </si>
  <si>
    <t>ဗမာဥတို</t>
  </si>
  <si>
    <t>အင်းရွာအလယ်စု</t>
  </si>
  <si>
    <t>ဇိမ်ဇာ</t>
  </si>
  <si>
    <t>စစ်ကွင်းလေး</t>
  </si>
  <si>
    <t>အထက်နွယ်ခွေ</t>
  </si>
  <si>
    <t>အောက်နွယ်ခွေ</t>
  </si>
  <si>
    <t>အုန်းပင်စု</t>
  </si>
  <si>
    <t>သာယာအေး(ရွှေကုက္ကိုလ်)</t>
  </si>
  <si>
    <t>ရဲဘော်ကွက်သစ်</t>
  </si>
  <si>
    <t>၀.၄</t>
  </si>
  <si>
    <t>တောင်စု</t>
  </si>
  <si>
    <t>ရှားစီးဘို</t>
  </si>
  <si>
    <t>မဲဇလီကုန်း</t>
  </si>
  <si>
    <t>ကရင်ဥတို</t>
  </si>
  <si>
    <t>ပဲခူးစု</t>
  </si>
  <si>
    <t>ညောင်ပတ်</t>
  </si>
  <si>
    <t>ရွှေွှတောင်တန်း</t>
  </si>
  <si>
    <t>အထက်တံတားကြီးကွင်း</t>
  </si>
  <si>
    <t>အောက်တံတားကြီးကွင်း</t>
  </si>
  <si>
    <t>သုံးဆယ်မြို့အတွင်း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</si>
  <si>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ခန့်မှန်းကုန်ကျငွေကျပ်သန်းပေါင်း</t>
  </si>
  <si>
    <t>၁၁/၀.၄ ကေဗွီထရန် စဖော်မာ</t>
  </si>
  <si>
    <t>လက်ပံတုန်း</t>
  </si>
  <si>
    <t>မကြီးကွင်း</t>
  </si>
  <si>
    <t>မန်ကျီးချောင်း</t>
  </si>
  <si>
    <t>လွှစင်</t>
  </si>
  <si>
    <t>ရေတွင်းကုန်း</t>
  </si>
  <si>
    <t>ရွာသစ်</t>
  </si>
  <si>
    <t>လက်ပံတုန်းရှမ်းစု</t>
  </si>
  <si>
    <t>ကျေးလူး</t>
  </si>
  <si>
    <t>ကုန်းမီးနင်း</t>
  </si>
  <si>
    <t>သာခွေးစု</t>
  </si>
  <si>
    <t>​ရေလဲကြီး</t>
  </si>
  <si>
    <t>​ရေလဲလေး</t>
  </si>
  <si>
    <t>ဝါးလေးရုံ</t>
  </si>
  <si>
    <t>ညောင်နီကုန်း</t>
  </si>
  <si>
    <t xml:space="preserve"> </t>
  </si>
  <si>
    <t>လက်ပံတန်းမြို့နယ်အတွင်း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</si>
  <si>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လူတော်စု</t>
  </si>
  <si>
    <t>ဖိုးခေါင်စု</t>
  </si>
  <si>
    <t>သဲကောရွာဟောင်း</t>
  </si>
  <si>
    <t>ထိန်ပင်အင်း</t>
  </si>
  <si>
    <t>ဖိုးချိုစု</t>
  </si>
  <si>
    <t>ကညင်တကိုင်း</t>
  </si>
  <si>
    <t>နဘဲကွင်း</t>
  </si>
  <si>
    <t>ရှမ်းကွင်း</t>
  </si>
  <si>
    <t>သာယာကုန်း</t>
  </si>
  <si>
    <t>ရေကြည်/တိုက်ကျောင်း</t>
  </si>
  <si>
    <t>အုတ်တွင်းကုန်း</t>
  </si>
  <si>
    <t>ယင်းတိုက်ကွင်း</t>
  </si>
  <si>
    <t>ဇလုတ်</t>
  </si>
  <si>
    <t>သဖန်းကုန်း</t>
  </si>
  <si>
    <t>ကရင်/မြန်မာရေလျှံ</t>
  </si>
  <si>
    <t>ရွှေွှဘိုစု</t>
  </si>
  <si>
    <t>ဂရံစံပြ</t>
  </si>
  <si>
    <t>ကျွန်းပင်ကောက်</t>
  </si>
  <si>
    <t>သိုက်ဝါးချောင်း</t>
  </si>
  <si>
    <t>ဂွေးတောက်ကွင်းရွာမ</t>
  </si>
  <si>
    <t>သက်ကယ်ကုန်း</t>
  </si>
  <si>
    <t>ချောင်းဂွ</t>
  </si>
  <si>
    <t>တာဆုံး</t>
  </si>
  <si>
    <t>ရှမ်းတော</t>
  </si>
  <si>
    <t>ထန်းပင်ကုန်း/ခြင်သေ့ကုန်း</t>
  </si>
  <si>
    <t>ရှားစီးဖို</t>
  </si>
  <si>
    <t>ရှမ်းစု/အလယ်စု</t>
  </si>
  <si>
    <t>ပျဉ်ထောင်ကွင်း</t>
  </si>
  <si>
    <t>သရက်ချောင်း</t>
  </si>
  <si>
    <t>ခြောက်အိမ်တန်း</t>
  </si>
  <si>
    <t>သဲကောမင်းစု</t>
  </si>
  <si>
    <t>ကျောင်းစု</t>
  </si>
  <si>
    <t>မိုးအိုင်</t>
  </si>
  <si>
    <t>ကမ်းပြိုကြီး</t>
  </si>
  <si>
    <t>ခေါင်းလောင်းတိုင်</t>
  </si>
  <si>
    <t>ချောင်းနား/ကိုင်းတန်း(န)</t>
  </si>
  <si>
    <t>သာရဝေါမြို့အတွင်း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</si>
  <si>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ရေွှေတာင်ကုန်း</t>
  </si>
  <si>
    <t>၁၆၀×၂</t>
  </si>
  <si>
    <t>အရိုးကုန်း</t>
  </si>
  <si>
    <t>ဦးရွှေနှစ်အစု</t>
  </si>
  <si>
    <t>အင်းသာယာ/ကျောင်းစု</t>
  </si>
  <si>
    <t>ဓမ္ဘီစု</t>
  </si>
  <si>
    <t>ဆင်မနီ</t>
  </si>
  <si>
    <t>အောင်မြေကုန်း/
ရွာသစ်ကုန်း</t>
  </si>
  <si>
    <t>မြင်ကဝ</t>
  </si>
  <si>
    <t>မဟာပေါင်း</t>
  </si>
  <si>
    <t>ကျောင်းကုန်း</t>
  </si>
  <si>
    <t>ငှက်ပျောတော</t>
  </si>
  <si>
    <t>ရေလျှံ</t>
  </si>
  <si>
    <t>တော်လဿ(အရှေ့စု)</t>
  </si>
  <si>
    <t>ပေါင်းတည်မြို့နယ်အတွင်းကျေးရွာအလိုက်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</si>
  <si>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ဗျက်ကြီး(တ)</t>
  </si>
  <si>
    <t xml:space="preserve"> -</t>
  </si>
  <si>
    <t>ဗျက်ကြီး(မ)</t>
  </si>
  <si>
    <t>ညောင်တန်း</t>
  </si>
  <si>
    <t>သပြေကြီးစု</t>
  </si>
  <si>
    <t>‌ချောင်းခွ</t>
  </si>
  <si>
    <t>ကျွဲကြာတိုင်း</t>
  </si>
  <si>
    <t>တန်ဇောင်းကြီးကုန်း</t>
  </si>
  <si>
    <t>ရှမ်းကုန်း</t>
  </si>
  <si>
    <t>ကျောင်းတော်ရာ</t>
  </si>
  <si>
    <t>ကျီးမနိုး</t>
  </si>
  <si>
    <t>‌ချောင်းနားပျဥ်ပုံ</t>
  </si>
  <si>
    <t>‌တောင်လွဲ</t>
  </si>
  <si>
    <t>သခွပ်ချောင်း</t>
  </si>
  <si>
    <t>သရက်တော</t>
  </si>
  <si>
    <t>ရှမ်းတောင်</t>
  </si>
  <si>
    <t>ပန်းတင်</t>
  </si>
  <si>
    <t>ချောင်းခွ</t>
  </si>
  <si>
    <t>မှန်တန်း</t>
  </si>
  <si>
    <t>ကြွယ်လုလင်ကြီး</t>
  </si>
  <si>
    <t>မှတ်တိုင်မြို့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</si>
  <si>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အဂ္ဂတွင်း+ကုန်းဇင်း+
ကွင်းကြီး</t>
  </si>
  <si>
    <t>ကင်းတရာ</t>
  </si>
  <si>
    <t>ကုန်းသာ</t>
  </si>
  <si>
    <t>ကရင်ခြံ</t>
  </si>
  <si>
    <t>ဘိုးခေါင်တိန်</t>
  </si>
  <si>
    <t>‌ကျောင်းစု</t>
  </si>
  <si>
    <t>‌ကွေ့မ</t>
  </si>
  <si>
    <t>နှမ်းကုန်းကြီး</t>
  </si>
  <si>
    <t>ရှားဖြူကုန်း</t>
  </si>
  <si>
    <t>သဲကုန်းမြို့ 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</si>
  <si>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သရက်သုံးပင်</t>
  </si>
  <si>
    <t>ရဲ့ရဲ့ကန်</t>
  </si>
  <si>
    <t>‌‌အောက်ကုန်း</t>
  </si>
  <si>
    <t>ချင်းကုန်း</t>
  </si>
  <si>
    <t>‌ချောင်းကန်းကုန်း</t>
  </si>
  <si>
    <t>ကတောက်</t>
  </si>
  <si>
    <t>အုပ်ရှစ်ကုန်း</t>
  </si>
  <si>
    <t>လက်ပန်တန်း</t>
  </si>
  <si>
    <t>ပိဿာပေး</t>
  </si>
  <si>
    <t>ပိတ်ချင်းကုန်း</t>
  </si>
  <si>
    <t>မြင်းစုကုန်း</t>
  </si>
  <si>
    <t>ဗောဓိကုန်း</t>
  </si>
  <si>
    <t>သင်တော</t>
  </si>
  <si>
    <t>ကန်စွန်းအင်း</t>
  </si>
  <si>
    <t>ရင်းတိုက်တမ်း</t>
  </si>
  <si>
    <t>‌နှောကုန်း</t>
  </si>
  <si>
    <t>သာပေါင်း</t>
  </si>
  <si>
    <t>မူယာတော</t>
  </si>
  <si>
    <t>ကျွန်းပင်ကုန်း</t>
  </si>
  <si>
    <t>ဇလဲ့</t>
  </si>
  <si>
    <t>အောင်နှံကုန်း</t>
  </si>
  <si>
    <t>စွယ်စောင်းကုန်း</t>
  </si>
  <si>
    <t>လိန်တန်း</t>
  </si>
  <si>
    <t>ရှားတော</t>
  </si>
  <si>
    <t>‌ရွေွှတံခါး</t>
  </si>
  <si>
    <t>သခွပ်တန်း</t>
  </si>
  <si>
    <t>သဖန်းချို</t>
  </si>
  <si>
    <t>ဘန့်ဘွေးကုန်း</t>
  </si>
  <si>
    <t>သပွတ်တိုင်း</t>
  </si>
  <si>
    <t>ထန်းလက်ရှည်</t>
  </si>
  <si>
    <t>ရုံးကုန်းကြီး</t>
  </si>
  <si>
    <t>ပုတီးကုန်းမြို့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</si>
  <si>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​ညောင်တန်း</t>
  </si>
  <si>
    <t>ဘန့်ဘွေးကုန်း</t>
  </si>
  <si>
    <t>လင်းလဲ</t>
  </si>
  <si>
    <t>ရွာလှ</t>
  </si>
  <si>
    <t>ဆင်ကျုံး</t>
  </si>
  <si>
    <t>‌ဇောင်းပလေးကုန်း</t>
  </si>
  <si>
    <t>ကြခတ်တန်း</t>
  </si>
  <si>
    <t>မိုးတိမ်ပြင်</t>
  </si>
  <si>
    <t>ဘူးပြော</t>
  </si>
  <si>
    <t>ရုံးပင်လမ်းခွဲ</t>
  </si>
  <si>
    <t>သစ်စိမ့်ကုန်း</t>
  </si>
  <si>
    <t>ရွာသာယာ</t>
  </si>
  <si>
    <t>မကျီးကုန်း</t>
  </si>
  <si>
    <t>ကုန်းကြီး</t>
  </si>
  <si>
    <t>ချင်းစု</t>
  </si>
  <si>
    <t>ရင်းတိုက်ကွင်း(န)</t>
  </si>
  <si>
    <t>ရင်းတိုက်ကွင်း(မ)</t>
  </si>
  <si>
    <t>တံခွန်တိုင်</t>
  </si>
  <si>
    <t>သပြေလှ</t>
  </si>
  <si>
    <t>သရက်ကုန်း</t>
  </si>
  <si>
    <t>သဲကျောကြီး</t>
  </si>
  <si>
    <t>သဲကျောလေး</t>
  </si>
  <si>
    <t>သိုက်တော</t>
  </si>
  <si>
    <t>မီးလောင်ချောင်း</t>
  </si>
  <si>
    <t>လက်ပံလုံးလှ</t>
  </si>
  <si>
    <t>ဝဲကြီး</t>
  </si>
  <si>
    <t>‌သောင်ခုံစွန်း</t>
  </si>
  <si>
    <t>ဆင်မြီးဆွဲမြို့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</si>
  <si>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နွယ်ကောက်</t>
  </si>
  <si>
    <t>‌စျေးကုန်း</t>
  </si>
  <si>
    <t>တဲကြီးကုန်း</t>
  </si>
  <si>
    <t>‌မြောက်ပိုင်းကုန်း</t>
  </si>
  <si>
    <t>‌ကျောင်းကုန်း</t>
  </si>
  <si>
    <t>‌တောစု</t>
  </si>
  <si>
    <t>ကိုယ်ကြီးမြုပ်</t>
  </si>
  <si>
    <t>ကိုယ်ကြီးမြုပ်(န)</t>
  </si>
  <si>
    <t>အင်ရုံကုန်း</t>
  </si>
  <si>
    <t>‌ကျောင်းကြီးကုန်း</t>
  </si>
  <si>
    <t>ကံကြီးကုန်း</t>
  </si>
  <si>
    <t>လယ်ပေါ်</t>
  </si>
  <si>
    <t>‌သောင်းမဲကြီး</t>
  </si>
  <si>
    <t>‌သောင်းမဲလေး</t>
  </si>
  <si>
    <t>သဲဆယ်</t>
  </si>
  <si>
    <t>ကူမြူစု</t>
  </si>
  <si>
    <t>ရွှေလင်</t>
  </si>
  <si>
    <t>ကျက်မရ</t>
  </si>
  <si>
    <t>သရက်တပင်</t>
  </si>
  <si>
    <t>ကျွဲပလုပ်</t>
  </si>
  <si>
    <t>ရှမ်းရွာ</t>
  </si>
  <si>
    <t>မိန်းမပြေ</t>
  </si>
  <si>
    <t>ဖန်ခါးပင်</t>
  </si>
  <si>
    <t>တပ်မ</t>
  </si>
  <si>
    <t>‌ပေပင်သာ</t>
  </si>
  <si>
    <t>သပြေကုန်း</t>
  </si>
  <si>
    <t>ကျူတော</t>
  </si>
  <si>
    <t>‌တောင်ရွာ</t>
  </si>
  <si>
    <t>ရွာသစ်ကုန်း</t>
  </si>
  <si>
    <t>အင်းမမြို့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</si>
  <si>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တောင်ကုန်း</t>
  </si>
  <si>
    <t>ကျွဲခေါင်း</t>
  </si>
  <si>
    <t>ပြကြီး</t>
  </si>
  <si>
    <t>အလယ်ကုန်း</t>
  </si>
  <si>
    <t>ရွာထောင်ကုန်း</t>
  </si>
  <si>
    <t>နိဗ္ဗာန်ကုန်း</t>
  </si>
  <si>
    <t>သာစည်</t>
  </si>
  <si>
    <t>ရပ်သာ</t>
  </si>
  <si>
    <t>ကြို့ကုန်း</t>
  </si>
  <si>
    <t>ဝါးလယ်</t>
  </si>
  <si>
    <t>စပါးကန်</t>
  </si>
  <si>
    <t>မဲကုန်း</t>
  </si>
  <si>
    <t>ကြို့ပင်သာ</t>
  </si>
  <si>
    <t>ကဒီပင်</t>
  </si>
  <si>
    <t>လှည်းဝိုင်းကုန်း</t>
  </si>
  <si>
    <t>လက်သမားကုန်း</t>
  </si>
  <si>
    <t>သစ်ဆနွင်းကုန်း</t>
  </si>
  <si>
    <t>ထန်းတောကြီး</t>
  </si>
  <si>
    <t>ပျဉ်ထောင်ကုန်း</t>
  </si>
  <si>
    <t>ကရင်ကုန်း</t>
  </si>
  <si>
    <t>‌ညောင်ကုန်း</t>
  </si>
  <si>
    <t>ဇင်ပြွန်းကုန်း</t>
  </si>
  <si>
    <t>သီးကုန်း</t>
  </si>
  <si>
    <t>မင်းပုန်း</t>
  </si>
  <si>
    <t>သစ်ရောင်းကန်</t>
  </si>
  <si>
    <t>မကျီးပင်ကန်သာ</t>
  </si>
  <si>
    <t>ကူကြီး</t>
  </si>
  <si>
    <t>မအူပင်ကွေ့</t>
  </si>
  <si>
    <t>ရွှေတောင်မြို့နယ်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</si>
  <si>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မဲတော</t>
  </si>
  <si>
    <t>ပအိုင့်</t>
  </si>
  <si>
    <t>ဝါးလည်</t>
  </si>
  <si>
    <t>ကိုးတွင်းစင်</t>
  </si>
  <si>
    <t>မင်းကွန်း</t>
  </si>
  <si>
    <t>ရွေွှကြို့ကုန်း</t>
  </si>
  <si>
    <t>ကျီးတိုင်းကုန်း</t>
  </si>
  <si>
    <t>မြောင်းတပ်</t>
  </si>
  <si>
    <t>ဇယ်မ</t>
  </si>
  <si>
    <t>ရွာကုန်း</t>
  </si>
  <si>
    <t>ကြက်ဖြူတောင်</t>
  </si>
  <si>
    <t>မီးလောင်</t>
  </si>
  <si>
    <t>မြေနီ၀</t>
  </si>
  <si>
    <t>မင်းရွာလေး</t>
  </si>
  <si>
    <t>ကန့်လန့်ကုန်း</t>
  </si>
  <si>
    <t>ရောင်ကြီး</t>
  </si>
  <si>
    <t>တွင်းတော်</t>
  </si>
  <si>
    <t>စိုက်ပျိုးရေးရွာသစ်</t>
  </si>
  <si>
    <t>ကံလှ</t>
  </si>
  <si>
    <t>ရွာသစ်ကြီး</t>
  </si>
  <si>
    <t>ဆည်ကြီးကုန်း</t>
  </si>
  <si>
    <t>ကန်းတင်</t>
  </si>
  <si>
    <t>ဇီးကုန်းကြီး</t>
  </si>
  <si>
    <t>ဇီးကုန်းလေး</t>
  </si>
  <si>
    <t>ဘို့လည်ကုန်း</t>
  </si>
  <si>
    <t>ရေွှတော</t>
  </si>
  <si>
    <t>ကျောက်အိုး</t>
  </si>
  <si>
    <t>နတ်မှော်</t>
  </si>
  <si>
    <t>(ကြခတ်ကျောင်း)</t>
  </si>
  <si>
    <t>ဖိုးသိန်းတန်</t>
  </si>
  <si>
    <t>လက်ခုတ်တန်း</t>
  </si>
  <si>
    <t>ချော့ခေါ်</t>
  </si>
  <si>
    <t>ထန်းလေးပင်</t>
  </si>
  <si>
    <t>လုံးအိုင်</t>
  </si>
  <si>
    <t>ဆင်ငုံ</t>
  </si>
  <si>
    <t>ကျီးတိုင်</t>
  </si>
  <si>
    <t>ရွာထင်</t>
  </si>
  <si>
    <t>လှည်းမှူး</t>
  </si>
  <si>
    <t>လက်ပံကုန်း</t>
  </si>
  <si>
    <t>ဥယျာဉ်တပ်</t>
  </si>
  <si>
    <t>သဲခုံ</t>
  </si>
  <si>
    <t>ကြပ်ကုန်း</t>
  </si>
  <si>
    <t>ကြံခင်းစု</t>
  </si>
  <si>
    <t>ကံရှို</t>
  </si>
  <si>
    <t>ရှင်ညို</t>
  </si>
  <si>
    <t>ကြံတော</t>
  </si>
  <si>
    <t>ညောင်ချင်ကုန်း</t>
  </si>
  <si>
    <t>အင်ဂလိုက်ကံ</t>
  </si>
  <si>
    <t>ပေကုန်း</t>
  </si>
  <si>
    <t>ငှက်ပျံ</t>
  </si>
  <si>
    <t>ထန်းကုန်း</t>
  </si>
  <si>
    <t>မွေလည်</t>
  </si>
  <si>
    <t>ကျီးယက်ကုန်း</t>
  </si>
  <si>
    <t>အင်းသာယာ</t>
  </si>
  <si>
    <t>ညောင်လှ</t>
  </si>
  <si>
    <t>ဥဒိန်</t>
  </si>
  <si>
    <t>မာလကာကုံး</t>
  </si>
  <si>
    <t>အလယ်ရွာ</t>
  </si>
  <si>
    <t>ကုက္ကိုလ်မြှောင်</t>
  </si>
  <si>
    <t>အင်းဖျား</t>
  </si>
  <si>
    <t>သာဇီကုန်း</t>
  </si>
  <si>
    <t>မင်းလှမြို့နယ်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</si>
  <si>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လှည်းပြင်တင်</t>
  </si>
  <si>
    <t>ငှက်ကြီးသိုက်</t>
  </si>
  <si>
    <t>ဒီလှိုင်း</t>
  </si>
  <si>
    <t>လွင်ပြင်</t>
  </si>
  <si>
    <t>တောင်ပို့ကြီး</t>
  </si>
  <si>
    <t>အင်းဘုတ်ကုန်း</t>
  </si>
  <si>
    <t>သင်တောရိုး</t>
  </si>
  <si>
    <t>အရှေ့ကြို့ကုန်း</t>
  </si>
  <si>
    <t>အနောက်ကြို့ကုန်း</t>
  </si>
  <si>
    <t>ကန်ဇွန်းအင်း</t>
  </si>
  <si>
    <t>တူးမြောင်းအထက်စု</t>
  </si>
  <si>
    <t>တူးမြောင်းအောက်စု</t>
  </si>
  <si>
    <t>တူးမြောင်း(၁)</t>
  </si>
  <si>
    <t>တူးမြောင်း(၂)</t>
  </si>
  <si>
    <t>သီတာအေး</t>
  </si>
  <si>
    <t>အညာတန်းလေး</t>
  </si>
  <si>
    <t>အင်းကြင်းကုန်း(တ)</t>
  </si>
  <si>
    <t>အင်ကြင်းကုန်း(မ)</t>
  </si>
  <si>
    <t>ကညင်ကောက်</t>
  </si>
  <si>
    <t>ဆင်အိုင်</t>
  </si>
  <si>
    <t>‌လှေလှော်ကွင်း</t>
  </si>
  <si>
    <t>ကွင်းကြီးတောင်စု</t>
  </si>
  <si>
    <t>ငါးအိမ်တန်း</t>
  </si>
  <si>
    <t>ကွင်းကြီးမြောက်စု</t>
  </si>
  <si>
    <t>ကွင်းကလေး</t>
  </si>
  <si>
    <t>‌မြောက်ကြို့ကုန်း</t>
  </si>
  <si>
    <t>ရွာသာယာ(စိန်ပု)</t>
  </si>
  <si>
    <t>‌အောက်ကိုင်းကြီး</t>
  </si>
  <si>
    <t>အောက်ကိုင်းလေး</t>
  </si>
  <si>
    <t>ဘုရားငုတ်တို</t>
  </si>
  <si>
    <t>အုန်းပင်ပေါက်</t>
  </si>
  <si>
    <t>ကြာပင်အိုင်</t>
  </si>
  <si>
    <t>ပန်းတော</t>
  </si>
  <si>
    <t>သရောဂျီ</t>
  </si>
  <si>
    <t>ညောင်သုံးပင်</t>
  </si>
  <si>
    <t>ပတ်တန်းကြီး</t>
  </si>
  <si>
    <t>ပတ်တန်းလေး</t>
  </si>
  <si>
    <t>သဖန်းပင်ဆိပ်</t>
  </si>
  <si>
    <t>မုက္ခာ</t>
  </si>
  <si>
    <t>သရောအမ်</t>
  </si>
  <si>
    <t>သရက်ပြင်ဆိပ်</t>
  </si>
  <si>
    <t>တည်ကုန်း</t>
  </si>
  <si>
    <t>ရှားပင်ကွေ့</t>
  </si>
  <si>
    <t>‌ဆင်တဲကုန်း</t>
  </si>
  <si>
    <t>ဗိုလ်ရုံကုန်း</t>
  </si>
  <si>
    <t>မစိုးရိမ်</t>
  </si>
  <si>
    <t>ကရင်တအိမ်</t>
  </si>
  <si>
    <t>ဇရစ်ချောင်း</t>
  </si>
  <si>
    <t>နတ်ကျ</t>
  </si>
  <si>
    <t>‌ချောင်းနား</t>
  </si>
  <si>
    <t>ရှမ်းစု</t>
  </si>
  <si>
    <t>ရှားကုန်း</t>
  </si>
  <si>
    <t>လှည်းကူး</t>
  </si>
  <si>
    <t>အင်းမတန်း</t>
  </si>
  <si>
    <t>ကြည်ကုန်း</t>
  </si>
  <si>
    <t>အုန်းနှဲချောင်း</t>
  </si>
  <si>
    <t>ကုလားစု</t>
  </si>
  <si>
    <t>‌ရေကြည်</t>
  </si>
  <si>
    <t>‌အောင်ဆန်းမြိုင်</t>
  </si>
  <si>
    <t>စိန်သာယာ</t>
  </si>
  <si>
    <t>သင်ကန်းချောင်</t>
  </si>
  <si>
    <t>ဘွတ်စိန်ပု</t>
  </si>
  <si>
    <t>စန်းကြီး</t>
  </si>
  <si>
    <t>စစ်ပြန်ကွင်း</t>
  </si>
  <si>
    <t>ထောက်ကြန့်</t>
  </si>
  <si>
    <t>‌တောင်ပြတ်</t>
  </si>
  <si>
    <t>သီဟိုဠ်မြိုင်</t>
  </si>
  <si>
    <t>ဆင်အိုင်ချောင်းပေါက်</t>
  </si>
  <si>
    <t>‌ညောင်ဝန်း</t>
  </si>
  <si>
    <t>တည်ပင်ကုန်း</t>
  </si>
  <si>
    <t>‌မြောက်လွတ်ပင်</t>
  </si>
  <si>
    <t>ရေနှစ်မွှာ</t>
  </si>
  <si>
    <t>ဆပ်ဖားရိုး</t>
  </si>
  <si>
    <t>ပြည်မြို့နယ်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</si>
  <si>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ညောင်ဝန်း</t>
  </si>
  <si>
    <t>ကြခတ်</t>
  </si>
  <si>
    <t>မတောင့်တ</t>
  </si>
  <si>
    <t>လက်ပံအိုင်</t>
  </si>
  <si>
    <t>ရွှေမြောင်</t>
  </si>
  <si>
    <t>ဉယျာဉ်တပ်</t>
  </si>
  <si>
    <t>ငါးရွာ</t>
  </si>
  <si>
    <t>ပေါက်တော</t>
  </si>
  <si>
    <t>​ပေပင်စု</t>
  </si>
  <si>
    <t>ဖုမ္မသိန်</t>
  </si>
  <si>
    <t>ကင်းချောင်း</t>
  </si>
  <si>
    <t>ကန်ဘီလာ</t>
  </si>
  <si>
    <t>ကန်ဘီလာရွာသစ်</t>
  </si>
  <si>
    <t>လက်ခုပ်ကုန်း</t>
  </si>
  <si>
    <t>နဖားအင်း</t>
  </si>
  <si>
    <t>သာစည်ကုန်း</t>
  </si>
  <si>
    <t>သစ်ချီတင်</t>
  </si>
  <si>
    <t>ဇီးဖြူကုန်း</t>
  </si>
  <si>
    <t>၂၂  ရွာ</t>
  </si>
  <si>
    <t>မိုးညိုမြို့နယ်အတွင်း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</si>
  <si>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ဘုရားငူ</t>
  </si>
  <si>
    <t>လဖျော်ပင်</t>
  </si>
  <si>
    <t>မိုးသစ္စာ</t>
  </si>
  <si>
    <t xml:space="preserve">၁၀၀x၂ </t>
  </si>
  <si>
    <t>ဥယျာဉ်စု</t>
  </si>
  <si>
    <t>ငှက်ပျောတုံး</t>
  </si>
  <si>
    <t>ထိန်တောမြို့အတွင်း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</si>
  <si>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ဘုရားကြီးကုန်း</t>
  </si>
  <si>
    <t>ဖြူကြီးကွင်း</t>
  </si>
  <si>
    <t>ကွမ်းခြံစု</t>
  </si>
  <si>
    <t>ဇေယျဝတီ</t>
  </si>
  <si>
    <t>ကျွန်းကြီး</t>
  </si>
  <si>
    <t>ပါရမီ</t>
  </si>
  <si>
    <t>သက္ကယ်ကွင်း</t>
  </si>
  <si>
    <t>‌ရေသပြာ</t>
  </si>
  <si>
    <t>ဥတို</t>
  </si>
  <si>
    <t>စစ်ကုန်း</t>
  </si>
  <si>
    <t>အုတ်ဖိုမြို့နယ်အတွင်း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</si>
  <si>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နနွင်းကုန်း</t>
  </si>
  <si>
    <t>ညောင်ပင်ကြီးစု</t>
  </si>
  <si>
    <t>ငါးရှဉ့်ရိုး</t>
  </si>
  <si>
    <t>အဘိုးအင်း</t>
  </si>
  <si>
    <t>ရွာသစ်စု</t>
  </si>
  <si>
    <t>ထူးချောင်း</t>
  </si>
  <si>
    <t>ထောက်ကြံ့ကွင်း</t>
  </si>
  <si>
    <t>ထူးကုန်းရွာသစ်</t>
  </si>
  <si>
    <t>စီပင်သာ</t>
  </si>
  <si>
    <t>ကြက်ဆူတော</t>
  </si>
  <si>
    <t>ကြက်ကွင်း</t>
  </si>
  <si>
    <t>အုတ်ရှစ်ကုန်း</t>
  </si>
  <si>
    <t>ကြပ်တိုက်</t>
  </si>
  <si>
    <t>ကုလားကိုင်း</t>
  </si>
  <si>
    <t>သမန်းကုန်း</t>
  </si>
  <si>
    <t>အုန်းနှဲ</t>
  </si>
  <si>
    <t>လင်းလွန်းပင်</t>
  </si>
  <si>
    <t>ခြောက်တင်းကွင်း</t>
  </si>
  <si>
    <t>ရှားတောကွင်း</t>
  </si>
  <si>
    <t>ကဝေစု</t>
  </si>
  <si>
    <t>ဘုတလက်တန်း</t>
  </si>
  <si>
    <t>လယ်ဦးစု</t>
  </si>
  <si>
    <t>ကုန်းတန်း</t>
  </si>
  <si>
    <t>ဆီဆုံကုန်း</t>
  </si>
  <si>
    <t>​ရေတာ</t>
  </si>
  <si>
    <t>ဂုံညင်းတန်း</t>
  </si>
  <si>
    <t>ဗြန့်ကြီး</t>
  </si>
  <si>
    <t>ကျွန်းခီ</t>
  </si>
  <si>
    <t>လူအိုစု</t>
  </si>
  <si>
    <t>ဆီမီးတောက်ကုန်း</t>
  </si>
  <si>
    <t>ချောင်းနား</t>
  </si>
  <si>
    <t>ဆပ်ပုတ်</t>
  </si>
  <si>
    <t>အေးမြသာယာမြို့အတွင်း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</si>
  <si>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စိန်ချောင်း</t>
  </si>
  <si>
    <t>ညောင်ပင်ကွင်း</t>
  </si>
  <si>
    <t>ရှမ်းတောလေး</t>
  </si>
  <si>
    <t>တမံကြီး</t>
  </si>
  <si>
    <t>အိမ်တိုင်ပုံ</t>
  </si>
  <si>
    <t>ရှမ်းတောကြီး</t>
  </si>
  <si>
    <t>အောင်ချမ်းသာ</t>
  </si>
  <si>
    <t>ဥက္ကံ</t>
  </si>
  <si>
    <t>အိုးသည်ကုန်းမြို့အတွင်း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</si>
  <si>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ဘုတ်သိုး</t>
  </si>
  <si>
    <t>ဂရံ</t>
  </si>
  <si>
    <t>မြောက်လွတ်ပင်</t>
  </si>
  <si>
    <t>ကြို့ပင်ကောက်မြို့နယ်အတွင်း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</si>
  <si>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သဲတွင်း</t>
  </si>
  <si>
    <t>ဥက္ကံရွာမ</t>
  </si>
  <si>
    <t>နဘဲကုန်း</t>
  </si>
  <si>
    <t>ရန်နိုင်</t>
  </si>
  <si>
    <t>ဖုန်းဆိုးစု</t>
  </si>
  <si>
    <t>ကြံတောစု</t>
  </si>
  <si>
    <t>တမံဆည်</t>
  </si>
  <si>
    <t>ရင်းတိုက်ပင်ရွာမ</t>
  </si>
  <si>
    <t>သက္ကယ်ချင်းကုန်း</t>
  </si>
  <si>
    <t>ကျီစု</t>
  </si>
  <si>
    <t>တောရ</t>
  </si>
  <si>
    <t>ရန်ကြီးအောင်</t>
  </si>
  <si>
    <t>မအူကုန်း</t>
  </si>
  <si>
    <t>သပြေရုံ</t>
  </si>
  <si>
    <t>ဘီးကွဲ</t>
  </si>
  <si>
    <t>ဒေါင်းလူး</t>
  </si>
  <si>
    <t>သပြုပင်</t>
  </si>
  <si>
    <t>လိန်ပင်ကွင်း(တ+မ)</t>
  </si>
  <si>
    <t>စိန်ချောင်းရွာမ</t>
  </si>
  <si>
    <t>စိန်ချောင်းရွာသစ်</t>
  </si>
  <si>
    <t>လေးအိမ်တန်း</t>
  </si>
  <si>
    <t>ညောင်ပင်သာ</t>
  </si>
  <si>
    <t>ဖလံကုန်း</t>
  </si>
  <si>
    <t>ကျွဲဘိ(ရ+န)</t>
  </si>
  <si>
    <t>သပြေတန်း</t>
  </si>
  <si>
    <t>သခွတ်ကုန်း</t>
  </si>
  <si>
    <t>ကွင်းတဲ</t>
  </si>
  <si>
    <t>အောင်ပင်သာကြီး</t>
  </si>
  <si>
    <t>အောင်ပင်သာလေး</t>
  </si>
  <si>
    <t>ရခိုင်ပု</t>
  </si>
  <si>
    <t>လေးတဲ</t>
  </si>
  <si>
    <t>မင်းကုန်း</t>
  </si>
  <si>
    <t>အိုးဘိုကုန်း</t>
  </si>
  <si>
    <t>ကျေးတော</t>
  </si>
  <si>
    <t>အေးမကွင်း</t>
  </si>
  <si>
    <t>ကံကြီး</t>
  </si>
  <si>
    <t>ကျောက်စရစ်ကုန်း</t>
  </si>
  <si>
    <t>တူးကံ(ထ+အ)</t>
  </si>
  <si>
    <t>ရွာတန်းရှည်</t>
  </si>
  <si>
    <t>ငကျီး</t>
  </si>
  <si>
    <t>ဘွက်ရိုး</t>
  </si>
  <si>
    <t>ကြို့ပင်စခန်း</t>
  </si>
  <si>
    <t>ကံကလေး</t>
  </si>
  <si>
    <t>ရင်းတောရိုး</t>
  </si>
  <si>
    <t>ငွေဓားရ</t>
  </si>
  <si>
    <t>ဂုမ္မကွင်း(ရ+န)</t>
  </si>
  <si>
    <t>‌ရေတွင်းဘို</t>
  </si>
  <si>
    <t>အုန်းနှဲကျောတန်း(ရ+န)</t>
  </si>
  <si>
    <t>ကျွဲသေ</t>
  </si>
  <si>
    <t>ကြခတ္တန်းကြီး</t>
  </si>
  <si>
    <t>မင်းဝ</t>
  </si>
  <si>
    <t>ဆင်ပိုက်(လ+န)</t>
  </si>
  <si>
    <t>ဆင်ပိုက်(ရ)</t>
  </si>
  <si>
    <t>မအူတန်း</t>
  </si>
  <si>
    <t>စမ်းအိုင်</t>
  </si>
  <si>
    <t>ဘုတလက်ကုန်း</t>
  </si>
  <si>
    <t>ဘုရားကြီးကုန်း(ရ)</t>
  </si>
  <si>
    <t>ဘုရားကြီးကုန်း(န)</t>
  </si>
  <si>
    <t>ကဝေကုန်း</t>
  </si>
  <si>
    <t>အင်းလယ်</t>
  </si>
  <si>
    <t>တောင်ရိုးကွင်း(ရ)</t>
  </si>
  <si>
    <t>တောင်ရိုးကွင်း(န)</t>
  </si>
  <si>
    <t>ဇီးကုန်းမြို့နယ်အတွင်း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</si>
  <si>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ချောင်းကမ်းကြီး</t>
  </si>
  <si>
    <t>အလယ်ချောင်းကမ်း</t>
  </si>
  <si>
    <t>ချောင်းကမ်းလေး</t>
  </si>
  <si>
    <t>လုံးလ</t>
  </si>
  <si>
    <t>​မော်ရ</t>
  </si>
  <si>
    <t>ထန်းတပင်</t>
  </si>
  <si>
    <t>ချောင်းစောက်</t>
  </si>
  <si>
    <t>သစ်မျှောကြီး</t>
  </si>
  <si>
    <t>မကျီးပင်ဆိပ်</t>
  </si>
  <si>
    <t>ရွှေဖလား</t>
  </si>
  <si>
    <t>ပေါက်ပင်ဆိပ်</t>
  </si>
  <si>
    <t>ညောင်ပင်ဘိုရွာသစ်</t>
  </si>
  <si>
    <t>ဘုဒလက်ကုန်း</t>
  </si>
  <si>
    <t>ညောင်ဇင်</t>
  </si>
  <si>
    <t>ထန်းရှစ်ပင်</t>
  </si>
  <si>
    <t>လွှစင်ကုန်း</t>
  </si>
  <si>
    <t>တယ်ပင်ကန်</t>
  </si>
  <si>
    <t>နဂျီချောင်း</t>
  </si>
  <si>
    <t>ကရင်ကွင်း</t>
  </si>
  <si>
    <t>စပယ်မျှောင်</t>
  </si>
  <si>
    <t>သောင်ရေကန်</t>
  </si>
  <si>
    <t>လှေးပုကုန်း</t>
  </si>
  <si>
    <t>ညောင်ဝိုင်း</t>
  </si>
  <si>
    <t>‌ရေသိုး</t>
  </si>
  <si>
    <t>ရိုးကြီး</t>
  </si>
  <si>
    <t>ဂတ်ကုန်း</t>
  </si>
  <si>
    <t>ကန္တလီ</t>
  </si>
  <si>
    <t>ဝက်ကော်</t>
  </si>
  <si>
    <t>အလယ်စု</t>
  </si>
  <si>
    <t>ဒေါကျော်</t>
  </si>
  <si>
    <t>အောက်ရှမ်းစု</t>
  </si>
  <si>
    <t>မယင်းရှမ်းစု</t>
  </si>
  <si>
    <t>မယင်းသဲခုံကြီး</t>
  </si>
  <si>
    <t>သဲကော</t>
  </si>
  <si>
    <t>‌ရေတာရှည်</t>
  </si>
  <si>
    <t>သစ်စင်အရှေ့စု</t>
  </si>
  <si>
    <t>သစ်စင်တောင်စု</t>
  </si>
  <si>
    <t>သစ်စင်မြောက်စု</t>
  </si>
  <si>
    <t>သစ်ဖြူပင်</t>
  </si>
  <si>
    <t>တောမြိုင်စွန်း</t>
  </si>
  <si>
    <t>ဆိတ်ဖူးကျင်း</t>
  </si>
  <si>
    <t>ကံကြီးရွာသစ်</t>
  </si>
  <si>
    <t>တယ်ပင်ကျော</t>
  </si>
  <si>
    <t>ကျွဲတဲ</t>
  </si>
  <si>
    <t>မီးကောက်ပင်</t>
  </si>
  <si>
    <t>ဒိုးနွယ်</t>
  </si>
  <si>
    <t>ဘော်ဘင်</t>
  </si>
  <si>
    <t>၁၆၀</t>
  </si>
  <si>
    <t>အထက်ကျောက်ဖြူ</t>
  </si>
  <si>
    <t>အောက်ကျောက်ဖြူ</t>
  </si>
  <si>
    <t>သက်ကယ်ပြင်</t>
  </si>
  <si>
    <t>ချောင်းနားစု</t>
  </si>
  <si>
    <t>ရွှေကြို့ပင်ရွာမ</t>
  </si>
  <si>
    <t>ကျွန်းတော</t>
  </si>
  <si>
    <t>နတ္တလင်းမြို့နယ်အတွင်း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</si>
  <si>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စည်ပင်သာ</t>
  </si>
  <si>
    <t>မြို့ခြံ</t>
  </si>
  <si>
    <t>မြို့ခြံ(တောင်စု)</t>
  </si>
  <si>
    <t>စက်ရုံရှမ်းစု</t>
  </si>
  <si>
    <t>ကညင်ကံလေး</t>
  </si>
  <si>
    <t>ကညင်ကံကြီး</t>
  </si>
  <si>
    <t>ပေါက်တောကြီးကုန်း</t>
  </si>
  <si>
    <t>မယ်ဇလီတန်း</t>
  </si>
  <si>
    <t>ဇောင်းပလေးကုန်း</t>
  </si>
  <si>
    <t>ဒေါကျော်(ရှေ့)</t>
  </si>
  <si>
    <t>ဒေါကျော်(န)</t>
  </si>
  <si>
    <t>ဂျင်းယားကုန်း</t>
  </si>
  <si>
    <t>ထန်းပင်ကုန်း</t>
  </si>
  <si>
    <t>လက်ခုပ်ပင်</t>
  </si>
  <si>
    <t>လေးဆယ်ကျော်</t>
  </si>
  <si>
    <t>သန္ဓေကုန်း</t>
  </si>
  <si>
    <t>ပေါက်မှော်</t>
  </si>
  <si>
    <t>ကြို့လေးပင်</t>
  </si>
  <si>
    <t>ရှားစေးဖို(အထက်စု)</t>
  </si>
  <si>
    <t>သရက်ပင်ကန်ရိုး</t>
  </si>
  <si>
    <t>ချားယားပင်</t>
  </si>
  <si>
    <t>ပန်းတင်ကြီး</t>
  </si>
  <si>
    <t>အုတ်တန်း</t>
  </si>
  <si>
    <t>ဝန်တဲ</t>
  </si>
  <si>
    <t>တာပွန်မြို့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</si>
  <si>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ကံတွင်း</t>
  </si>
  <si>
    <t>မကျီးစု</t>
  </si>
  <si>
    <t>ဘုန်းစု</t>
  </si>
  <si>
    <t>လိပ်လွှတ်</t>
  </si>
  <si>
    <t>သူဌေးကုန်း</t>
  </si>
  <si>
    <t>အညာတန်း</t>
  </si>
  <si>
    <t>ကန်လယ်</t>
  </si>
  <si>
    <t>ကုလားတက်ထွန်း</t>
  </si>
  <si>
    <t>ကွမ်းခြံကုန်း</t>
  </si>
  <si>
    <t>သစ်တရာ</t>
  </si>
  <si>
    <t>ရဘိန်းစု</t>
  </si>
  <si>
    <t>တောင်ယာတော</t>
  </si>
  <si>
    <t>ဘုန်းကြီးရေဆည်</t>
  </si>
  <si>
    <t>ဘိုင်</t>
  </si>
  <si>
    <t>ကျောင်းရွာလေး</t>
  </si>
  <si>
    <t>ဘုကြီး</t>
  </si>
  <si>
    <t>ထိပ်ပိတ်</t>
  </si>
  <si>
    <t>ပြည်မြို့နယ်အတွင်း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</si>
  <si>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ပေါင်းတလည်မြို့အတွင်း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</si>
  <si>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သူဌေး</t>
  </si>
  <si>
    <t>ရေကြည်ကုန်း</t>
  </si>
  <si>
    <t>အုပ်ဆွဲ</t>
  </si>
  <si>
    <t>အိုင်ကျောင်းကုန်း</t>
  </si>
  <si>
    <t>မင်းတပ်</t>
  </si>
  <si>
    <t>မုဌော</t>
  </si>
  <si>
    <t>ဗြဟော်</t>
  </si>
  <si>
    <t>ကုန်းရိုး</t>
  </si>
  <si>
    <t>တွင်းဗြည်း</t>
  </si>
  <si>
    <t>မြို့စိုး</t>
  </si>
  <si>
    <t>လှည်းသေ</t>
  </si>
  <si>
    <t>မင်းဘူး</t>
  </si>
  <si>
    <t>ယာကြီးတော</t>
  </si>
  <si>
    <t>မြောင်းကြီး</t>
  </si>
  <si>
    <t>ပေါက်ပေါက်</t>
  </si>
  <si>
    <t>လက်ခုပ်ပင်(ရ)</t>
  </si>
  <si>
    <t>စျေးလယ်</t>
  </si>
  <si>
    <t>ရွှေကြို့ပင်ရိုး</t>
  </si>
  <si>
    <t>အိုးတင်ကုန်း</t>
  </si>
  <si>
    <t>ဆင်ပိုက်</t>
  </si>
  <si>
    <t>​လေးကြီး</t>
  </si>
  <si>
    <t>ကြို့ပင်</t>
  </si>
  <si>
    <t>ကုလားကံ</t>
  </si>
  <si>
    <t>ဝက်ထီးကန်မြို့အတွင်း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</si>
  <si>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သရက်ချို</t>
  </si>
  <si>
    <t>လဘ</t>
  </si>
  <si>
    <t>ပုဏ္ဍမ</t>
  </si>
  <si>
    <t>မဟာဘို</t>
  </si>
  <si>
    <t>ချမ်းသာကြီးကုန်း</t>
  </si>
  <si>
    <t>မယ်နီမကုန်း</t>
  </si>
  <si>
    <t>ကောက်ပုံကွင်း</t>
  </si>
  <si>
    <t>ပေါက်ခေါင်းမြို့နယ်အတွင်း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</si>
  <si>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တာကောက်</t>
  </si>
  <si>
    <t>ရပ်သစ်</t>
  </si>
  <si>
    <t>ဒွရွာ</t>
  </si>
  <si>
    <t>နတ္တလင်းစု</t>
  </si>
  <si>
    <t>အောင်မြင်ကုန်း</t>
  </si>
  <si>
    <t>ဝက်တိုး(ရှေ့)</t>
  </si>
  <si>
    <t>ဝက်တိုး(နောက်)</t>
  </si>
  <si>
    <t>ဝက်တိုး(မြောက်)</t>
  </si>
  <si>
    <t>ဆင်ဖြူကန်</t>
  </si>
  <si>
    <t>ကျွဲပေါင်ပင်</t>
  </si>
  <si>
    <t>လေးကြီး</t>
  </si>
  <si>
    <t>ကန်စု</t>
  </si>
  <si>
    <t>ရေဉီး</t>
  </si>
  <si>
    <t>မင်းငယ်ကုန်း</t>
  </si>
  <si>
    <t>မဲကင်းကုန်း</t>
  </si>
  <si>
    <t>ရေဖြူ</t>
  </si>
  <si>
    <t>လွန်တပတ်</t>
  </si>
  <si>
    <t>ဇရပ်ကုန်း</t>
  </si>
  <si>
    <t>အုန်းရင်း</t>
  </si>
  <si>
    <t>ငှက်တော်ဦး</t>
  </si>
  <si>
    <t>ဘန့်ပြင်</t>
  </si>
  <si>
    <t>ကြိုးကြာ</t>
  </si>
  <si>
    <t>ကင်မွန်းခြုံ</t>
  </si>
  <si>
    <t>သေမသောက်</t>
  </si>
  <si>
    <t>ရွာပု</t>
  </si>
  <si>
    <t>စိုင်ဂေါင်း</t>
  </si>
  <si>
    <t>သိုက်ချောင်း</t>
  </si>
  <si>
    <t>ပန်းတောင်းမြို့နယ်အတွင်း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</si>
  <si>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သရက်လိန်</t>
  </si>
  <si>
    <t>ကသဲကုန်း</t>
  </si>
  <si>
    <t>‌လောင်းစလီ</t>
  </si>
  <si>
    <t>‌ရွှေညီနောင်</t>
  </si>
  <si>
    <t>‌ရေမနောက်</t>
  </si>
  <si>
    <t>အင်းဝင်း</t>
  </si>
  <si>
    <t>ဗြူးကုန်း</t>
  </si>
  <si>
    <t>ရုံးပု</t>
  </si>
  <si>
    <t>မကြီးကုန်း</t>
  </si>
  <si>
    <t>ဥသျှစ်ပင်မြို့အတွင်း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</si>
  <si>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ထိပ်ပေါက်</t>
  </si>
  <si>
    <t>မကြီးပင်ကွင်း</t>
  </si>
  <si>
    <t>ဂွေးကုန်း</t>
  </si>
  <si>
    <t>‌ညောင်ဝိုင်း</t>
  </si>
  <si>
    <t>ကန့်ကူ</t>
  </si>
  <si>
    <t>ဆင်လူး</t>
  </si>
  <si>
    <t>ကြာအင်း</t>
  </si>
  <si>
    <t>‌တောင်ရိုးစု</t>
  </si>
  <si>
    <t>ဖို</t>
  </si>
  <si>
    <t>ရွာသာလှ</t>
  </si>
  <si>
    <t>ယင်း</t>
  </si>
  <si>
    <t>သစ်စိန်ကုန်း</t>
  </si>
  <si>
    <t>ရွှေပန်းတော</t>
  </si>
  <si>
    <t>‌မြောက်ဘက်</t>
  </si>
  <si>
    <t>စဉ့်ကူး</t>
  </si>
  <si>
    <t>ေဳဳဒသမှကျခံမည့်
လုပ်ငန်း</t>
  </si>
  <si>
    <t>၄၀၀ ဗို့
လိုင်း
(မိုင်)</t>
  </si>
  <si>
    <t>ခန့်မှန်း
တန်ဖိုး
(ကျပ်သန်း)</t>
  </si>
  <si>
    <t>မြို့နယ်</t>
  </si>
  <si>
    <t>အိမ်
ထောင်
စု</t>
  </si>
  <si>
    <t>၁၁ ကေဗွီ လိုင်း
(မိုင်)</t>
  </si>
  <si>
    <t>သာယာ၀တီ</t>
  </si>
  <si>
    <t>‌ေပါင်း</t>
  </si>
  <si>
    <t>၃၃</t>
  </si>
  <si>
    <t>ခန့်မှန်းငွေ ကျပ်သန်းပေါင်း</t>
  </si>
  <si>
    <t>လုပ်အား
ခ</t>
  </si>
  <si>
    <t>(သုံးဆယ်မြို့)</t>
  </si>
  <si>
    <t>၁၅</t>
  </si>
  <si>
    <t>၄၈</t>
  </si>
  <si>
    <t>(သာႀယာ၀တီ</t>
  </si>
  <si>
    <t>မြို့)</t>
  </si>
  <si>
    <t>(လက်ပံတန်းမြို့)</t>
  </si>
  <si>
    <t>၃၇</t>
  </si>
  <si>
    <t>(သာရ‌ေ၀ါမြို့)</t>
  </si>
  <si>
    <t>၁၃</t>
  </si>
  <si>
    <t>‌ေပါင်းတည်</t>
  </si>
  <si>
    <t>(ပေါင်းတည်မြို့)</t>
  </si>
  <si>
    <t>၂၀</t>
  </si>
  <si>
    <t>(မှတ်တိုင်မြို့)</t>
  </si>
  <si>
    <t>၃၀</t>
  </si>
  <si>
    <t>၁၀</t>
  </si>
  <si>
    <t>(သဲကုန်းမြို့)</t>
  </si>
  <si>
    <t>၃၆</t>
  </si>
  <si>
    <t>(ပုတီးကုန်းမြို့)</t>
  </si>
  <si>
    <t>၂၈</t>
  </si>
  <si>
    <t>(အင်းမမြို့)</t>
  </si>
  <si>
    <t>၁၃၃</t>
  </si>
  <si>
    <t>‌ေရွှတောင်</t>
  </si>
  <si>
    <t>(ရွှေတောင်မြို့)</t>
  </si>
  <si>
    <t>စစ်ကွင်းမြို့အတွင်း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</si>
  <si>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မြောက်ချောကုန်း</t>
  </si>
  <si>
    <t>ဗျက်ကြီး(အရှေ့စု)</t>
  </si>
  <si>
    <t>ဗျက်ကြီး</t>
  </si>
  <si>
    <t>ကန်သာယာ</t>
  </si>
  <si>
    <t>ကြက်တောကွင်းကြီး</t>
  </si>
  <si>
    <t>ရေပြင်းကုန်းကံကလေး</t>
  </si>
  <si>
    <t>စီပင်ကုန်း</t>
  </si>
  <si>
    <t>ညောင်ကုန်း</t>
  </si>
  <si>
    <t>ဖြူကွင်း</t>
  </si>
  <si>
    <t>လူပျိုကြီးကွင်း</t>
  </si>
  <si>
    <t>လင်းတကွင်းလေး+တောင်စု</t>
  </si>
  <si>
    <t>လင်းတကွင်းကြီး</t>
  </si>
  <si>
    <t>ဝက်ကလေး(အနောက်)</t>
  </si>
  <si>
    <t>ဝက်ကလေး(အရှေ့)</t>
  </si>
  <si>
    <t>ကရင်စု+ကျောင်းစု</t>
  </si>
  <si>
    <t>ဒေါ်ဘုတ်စံ</t>
  </si>
  <si>
    <t>တာရဲကွင်း(အရှေ့စု)</t>
  </si>
  <si>
    <t>တာရဲကွင်း(အလယ်စု)</t>
  </si>
  <si>
    <t>ဝက်လှကြီး(အနောက်)</t>
  </si>
  <si>
    <t>ဝက်လှကြီး(အရှေ့)</t>
  </si>
  <si>
    <t>စမ်းထောင်ကွေ့</t>
  </si>
  <si>
    <t>ကရင်စီကွ</t>
  </si>
  <si>
    <t>မြန်မာစီကွ</t>
  </si>
  <si>
    <t>ရှမ်းစီကွ</t>
  </si>
  <si>
    <t>သာကလေး</t>
  </si>
  <si>
    <t>စာနီစု</t>
  </si>
  <si>
    <t>ရေွှဝါမြိုင်</t>
  </si>
  <si>
    <t>ဥတို (မြန်မာစု)</t>
  </si>
  <si>
    <t>ဥတို (စာဖြူစု)</t>
  </si>
  <si>
    <t>ဥတို (တောင်စု)</t>
  </si>
  <si>
    <t>ဥတို (ကညင်တင်)</t>
  </si>
  <si>
    <t>ဥတို (ကျွဲလမ်းစု+ရွာသစ်)</t>
  </si>
  <si>
    <t>သင်တောကန်</t>
  </si>
  <si>
    <t>ကံကုန်း(အရှေ့စု)</t>
  </si>
  <si>
    <t>ကံကုန်း(အနောက်စု)</t>
  </si>
  <si>
    <t>တောင်စလဲကုန်း</t>
  </si>
  <si>
    <t>ကြို့ကုန်းရွာမ</t>
  </si>
  <si>
    <t>ကြို့ကုန်းရွာသစ်</t>
  </si>
  <si>
    <t>တာရဲကွင်းရွာမ</t>
  </si>
  <si>
    <t>ပုလဲကုန်း</t>
  </si>
  <si>
    <t>၇၈</t>
  </si>
  <si>
    <t>(မိုးညိုမြို့)</t>
  </si>
  <si>
    <t>၉</t>
  </si>
  <si>
    <t>၁၁</t>
  </si>
  <si>
    <t>(ထိန်တောမြို့)</t>
  </si>
  <si>
    <t>(အုတ်ဖိုမြို့)</t>
  </si>
  <si>
    <t>၄၂</t>
  </si>
  <si>
    <t>(အေးမြသာယာ</t>
  </si>
  <si>
    <t>(အိုးသည်ကုန်း</t>
  </si>
  <si>
    <t>၅</t>
  </si>
  <si>
    <t>၅၆</t>
  </si>
  <si>
    <t>(ကြို့ပင်ကောက်မြို့)</t>
  </si>
  <si>
    <t>(ဇီးကုန်းမြို့)</t>
  </si>
  <si>
    <t>နတ္တလင်း</t>
  </si>
  <si>
    <t>(တာပွန်မြို့)</t>
  </si>
  <si>
    <t>၆၆</t>
  </si>
  <si>
    <t>(နတ္တလင်းမြို့)</t>
  </si>
  <si>
    <t>၆၅</t>
  </si>
  <si>
    <t>၂၂</t>
  </si>
  <si>
    <t>(ပြည်မြို့)</t>
  </si>
  <si>
    <t>(ပေါင်းတလည်မြို့)</t>
  </si>
  <si>
    <t>၂၇</t>
  </si>
  <si>
    <t>၅၉</t>
  </si>
  <si>
    <t>၃၂</t>
  </si>
  <si>
    <t>(ပန်းတောင်းမြို့)</t>
  </si>
  <si>
    <t>၂၁</t>
  </si>
  <si>
    <t>(စစ်ကွင်းမြုိ့)</t>
  </si>
  <si>
    <t>၆၇</t>
  </si>
  <si>
    <t>(မင်းလှမြို)</t>
  </si>
  <si>
    <t>=M47</t>
  </si>
  <si>
    <t>ဒေသမှ ကျခံမည့် လုပ်ငန်း</t>
  </si>
  <si>
    <t>၅၂</t>
  </si>
  <si>
    <t>၁၃၀</t>
  </si>
  <si>
    <t>(ဆင်မြီးဆွဲမြို့)</t>
  </si>
  <si>
    <t>(၀က်ထီးကန်မြို့)_</t>
  </si>
  <si>
    <t>‌ေပါက်ခေါင်း</t>
  </si>
  <si>
    <t>(ပေါက်ခေါင်းမြို့)</t>
  </si>
  <si>
    <t>Sr No</t>
  </si>
  <si>
    <t>Township</t>
  </si>
  <si>
    <t>Materials
Cost</t>
  </si>
  <si>
    <t>Service Charges</t>
  </si>
  <si>
    <t>Total Cost</t>
  </si>
  <si>
    <t>kVA</t>
  </si>
  <si>
    <t xml:space="preserve">Local </t>
  </si>
  <si>
    <t>Pyay</t>
  </si>
  <si>
    <t>400 V Line
(Miles)</t>
  </si>
  <si>
    <t>Padaung</t>
  </si>
  <si>
    <t>Oak Ship Pin</t>
  </si>
  <si>
    <t>Paungde</t>
  </si>
  <si>
    <t>Inn Ma</t>
  </si>
  <si>
    <t>Total Of Pyay Distric</t>
  </si>
  <si>
    <t>Tharyarwady</t>
  </si>
  <si>
    <t>Min Hla</t>
  </si>
  <si>
    <t>Tar Pon</t>
  </si>
  <si>
    <t>Total Of Tharyarwady Distric</t>
  </si>
  <si>
    <t xml:space="preserve">Total Of Bago(West) Region </t>
  </si>
  <si>
    <t>To be districted 
Electirficity</t>
  </si>
  <si>
    <t>House
Hold</t>
  </si>
  <si>
    <t>To be Consturcted</t>
  </si>
  <si>
    <t>Twon</t>
  </si>
  <si>
    <t>No. of 
Villages</t>
  </si>
  <si>
    <t>11 kV 
Distribution
Line</t>
  </si>
  <si>
    <t>11/0.4 kV Distribution Transformer</t>
  </si>
  <si>
    <t>No. of Transformer</t>
  </si>
  <si>
    <t>Paung Ta Le</t>
  </si>
  <si>
    <t>Wet Htee Kan</t>
  </si>
  <si>
    <t>Paukkhaung</t>
  </si>
  <si>
    <t>Hmat Taing</t>
  </si>
  <si>
    <t>Thekone</t>
  </si>
  <si>
    <t>Pu Tee Kone</t>
  </si>
  <si>
    <t>Sin Mee Swea</t>
  </si>
  <si>
    <t>Shwedaung</t>
  </si>
  <si>
    <t>Priority Electrification Project List for Bago (West) Division</t>
  </si>
  <si>
    <t>Estimated Cost 
(Millon Kyats)</t>
  </si>
  <si>
    <t>Estimated Cost (Millon Kyats)</t>
  </si>
  <si>
    <t>Thonse</t>
  </si>
  <si>
    <t>Letpadan</t>
  </si>
  <si>
    <t>Thar Ra Waw</t>
  </si>
  <si>
    <t>Sit Kwin</t>
  </si>
  <si>
    <t>Monyo</t>
  </si>
  <si>
    <t>Htein Taw</t>
  </si>
  <si>
    <t>Okpho</t>
  </si>
  <si>
    <t>Aye Mya Thar Yar</t>
  </si>
  <si>
    <t>Oe Thei Kone</t>
  </si>
  <si>
    <t>Gyobingauk</t>
  </si>
  <si>
    <t>Zigon</t>
  </si>
  <si>
    <t>Nattalin</t>
  </si>
  <si>
    <t>To Prisent for Every Bago (West) Division</t>
  </si>
  <si>
    <t>All No. of 
Villages</t>
  </si>
  <si>
    <t>Other Way by Electric</t>
  </si>
  <si>
    <t>To Remain for Villages</t>
  </si>
  <si>
    <t>To Present for Every Villages</t>
  </si>
  <si>
    <t>Remark</t>
  </si>
  <si>
    <t>Sr. No</t>
  </si>
  <si>
    <t>Form National Grid by Villages</t>
  </si>
  <si>
    <t>Town</t>
  </si>
  <si>
    <t>The Electricfied Villages by On Grid</t>
  </si>
  <si>
    <t>The Electricfied Villages by Other</t>
  </si>
  <si>
    <t>Total Electricfied Villages</t>
  </si>
  <si>
    <t>Remaining Villages</t>
  </si>
  <si>
    <t>11 kV Line 1 Mile Construction</t>
  </si>
  <si>
    <t>Sr</t>
  </si>
  <si>
    <t>Description</t>
  </si>
  <si>
    <t>Unit</t>
  </si>
  <si>
    <t>Total</t>
  </si>
  <si>
    <t>10 M Concrete Pole</t>
  </si>
  <si>
    <t>No</t>
  </si>
  <si>
    <t>(1 Miles x 5280/150=35 span)</t>
  </si>
  <si>
    <t>Single Pole Suspension - 32</t>
  </si>
  <si>
    <t>H-Pole Tension 4 x 2 = 8</t>
  </si>
  <si>
    <t>H-Pole Tension  Start 1 x 2 = 2</t>
  </si>
  <si>
    <t xml:space="preserve">Galvanized U- Channel Iron </t>
  </si>
  <si>
    <t>Cross Arm; များအတွက် (2"x4"x2"x6.5' L) Arm;</t>
  </si>
  <si>
    <t>(2"x4"x2"x20' L)</t>
  </si>
  <si>
    <r>
      <rPr>
        <sz val="14"/>
        <rFont val="Myanmar2"/>
        <family val="2"/>
      </rPr>
      <t xml:space="preserve">     </t>
    </r>
    <r>
      <rPr>
        <u/>
        <sz val="14"/>
        <rFont val="Myanmar2"/>
        <family val="2"/>
      </rPr>
      <t>အသုံးပြုပါမည်</t>
    </r>
  </si>
  <si>
    <t>( a ) Single Pole Suspension  32 x 1 = 32</t>
  </si>
  <si>
    <t>( b ) H-Pole Tension  4 x 2 = 8</t>
  </si>
  <si>
    <t xml:space="preserve">( c )H-Pole Tension  Start 1 x 2 = 2 </t>
  </si>
  <si>
    <r>
      <t xml:space="preserve">42 Nos x 6.5' L = 273/20'= </t>
    </r>
    <r>
      <rPr>
        <b/>
        <sz val="14"/>
        <rFont val="Myanmar2"/>
        <family val="2"/>
      </rPr>
      <t>13.65 Nos</t>
    </r>
  </si>
  <si>
    <t>Angle Iron for Bracing</t>
  </si>
  <si>
    <r>
      <t xml:space="preserve">(i) </t>
    </r>
    <r>
      <rPr>
        <u/>
        <sz val="14"/>
        <rFont val="Myanmar2"/>
        <family val="2"/>
      </rPr>
      <t>Single Pole Bracing   အတွက်</t>
    </r>
  </si>
  <si>
    <t>Bracing (2½"x2½"x20'L)</t>
  </si>
  <si>
    <r>
      <t xml:space="preserve">     </t>
    </r>
    <r>
      <rPr>
        <u/>
        <sz val="14"/>
        <rFont val="Myanmar2"/>
        <family val="2"/>
      </rPr>
      <t>(2½"x2½"x3'L Pair) အသုံးပြုပါမည်</t>
    </r>
  </si>
  <si>
    <t>(a) Single Pole Suspension  32x 1 =32</t>
  </si>
  <si>
    <t xml:space="preserve">32 Nos x 6' L =192' </t>
  </si>
  <si>
    <r>
      <t xml:space="preserve">192' / 20'L = </t>
    </r>
    <r>
      <rPr>
        <b/>
        <sz val="14"/>
        <rFont val="Myanmar2"/>
        <family val="2"/>
      </rPr>
      <t>9.6Nos</t>
    </r>
  </si>
  <si>
    <r>
      <t xml:space="preserve">(ii) </t>
    </r>
    <r>
      <rPr>
        <u/>
        <sz val="14"/>
        <rFont val="Myanmar2"/>
        <family val="2"/>
      </rPr>
      <t>H Pole Bracing  အတွက် (2½"x2½"x15'L No.)</t>
    </r>
  </si>
  <si>
    <r>
      <t xml:space="preserve">     </t>
    </r>
    <r>
      <rPr>
        <u/>
        <sz val="14"/>
        <rFont val="Myanmar2"/>
        <family val="2"/>
      </rPr>
      <t>အသုံးပြုပါမည်</t>
    </r>
  </si>
  <si>
    <t>(a) H-Pole Tension  4 x 2 = 8</t>
  </si>
  <si>
    <t>(b) H-Pole Tension start 1x2= 2</t>
  </si>
  <si>
    <r>
      <t xml:space="preserve">10 Nos x 15' L = 150 Nos /20'= </t>
    </r>
    <r>
      <rPr>
        <b/>
        <sz val="14"/>
        <rFont val="Myanmar2"/>
        <family val="2"/>
      </rPr>
      <t>7.5 Nos</t>
    </r>
  </si>
  <si>
    <t>Total - 9.6 + 7.5 = 17.1</t>
  </si>
  <si>
    <t>11 kV Pin Insulator with Spindle</t>
  </si>
  <si>
    <t>Set</t>
  </si>
  <si>
    <t>Single Pole Suspension 32 x 3= 96</t>
  </si>
  <si>
    <t>H-Pole Tension  4 x 3 = 12</t>
  </si>
  <si>
    <t>H-Pole Tension  start 1 x3 = 3</t>
  </si>
  <si>
    <t xml:space="preserve">11 kV Disc Insulator with Fitting </t>
  </si>
  <si>
    <t>H-Pole Tension  4 x 6 = 24</t>
  </si>
  <si>
    <t>Clamp  95 mm²</t>
  </si>
  <si>
    <t>H-Pole Tension  start 1 x 6 = 6</t>
  </si>
  <si>
    <r>
      <t>A.C.S.R (95/15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 xml:space="preserve">) for </t>
    </r>
  </si>
  <si>
    <t>Ton</t>
  </si>
  <si>
    <t>1x5280x3x1.05/8.61/1000=1.93</t>
  </si>
  <si>
    <t>Conductor</t>
  </si>
  <si>
    <t>M.S Stay Rod (6')</t>
  </si>
  <si>
    <t>H-Pole Tension 4 x 4 = 16</t>
  </si>
  <si>
    <t>H-Pole Tension  start 1 x 2= 2</t>
  </si>
  <si>
    <t>7/10 G.I Wire for Stay</t>
  </si>
  <si>
    <t>kg</t>
  </si>
  <si>
    <t>For Stay 18x5= 90</t>
  </si>
  <si>
    <t>Insulator Loop Strain(4")</t>
  </si>
  <si>
    <t>For Stay 18 x1= 18</t>
  </si>
  <si>
    <t>Binding Wire (Aluminium No.10)</t>
  </si>
  <si>
    <r>
      <t>P.G Clamp (95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>) (A/L B.2)</t>
    </r>
  </si>
  <si>
    <t>H-Pole Tension 4 x 6 = 24</t>
  </si>
  <si>
    <t>H-Pole Tension  start 1 x 6= 6</t>
  </si>
  <si>
    <t>H.T D-Iron</t>
  </si>
  <si>
    <t>Description/Detail</t>
  </si>
  <si>
    <t>1 Mile</t>
  </si>
  <si>
    <t>759.4 Miles</t>
  </si>
  <si>
    <t>ပစ္စည်းအမျိုးအမည်</t>
  </si>
  <si>
    <t>11/0.4 kV, 50 kVA Transformer</t>
  </si>
  <si>
    <t>11/0.4 kV, 200 kVA Transformer</t>
  </si>
  <si>
    <t>11/0.4 kV, 160 kVA Transformer</t>
  </si>
  <si>
    <t>11/0.4 kV, 100 kVA Transformer</t>
  </si>
  <si>
    <t>(10)M Concrete Pole</t>
  </si>
  <si>
    <t>(9)M Concerte Pole</t>
  </si>
  <si>
    <t>G.I Channel Iron (65x125x65x6tx6000mm)</t>
  </si>
  <si>
    <t>G.I Channel Iron (50x100x50x5tx6000mm)</t>
  </si>
  <si>
    <t>G.I Angle Iron (50x50x5tx6000mm)</t>
  </si>
  <si>
    <t>G.I Angle Iron (65x65x6tx6000mm)</t>
  </si>
  <si>
    <t>11 kV Pin Insulator with Spandle</t>
  </si>
  <si>
    <t>11 kV Disc Insulator with tension fitting</t>
  </si>
  <si>
    <t>11 kV Lighting Arrestor</t>
  </si>
  <si>
    <t>12 kV Disc Connecting Switch with Connecting Rod</t>
  </si>
  <si>
    <t>11 kV Drop out Fuse</t>
  </si>
  <si>
    <t>Cu, Earth Rod (¾ " Ø x 6' L)</t>
  </si>
  <si>
    <t>Distribution Panel(3P,400V, 300A)</t>
  </si>
  <si>
    <t>Distribution Panel(3P,400V, 250A)</t>
  </si>
  <si>
    <t>Distribution Panel(3P,400V, 150A)</t>
  </si>
  <si>
    <t>Stay Rod (6'L)</t>
  </si>
  <si>
    <t>4" Straining Insulator for Stay</t>
  </si>
  <si>
    <t>HT D-Iron</t>
  </si>
  <si>
    <t>LT D-Iron</t>
  </si>
  <si>
    <t>HDBC No.4</t>
  </si>
  <si>
    <t>Copper Binding Wire (SWG No.12)</t>
  </si>
  <si>
    <t>Aluminium Binging Wire (No.10)</t>
  </si>
  <si>
    <t>400 V Shackle Insulator</t>
  </si>
  <si>
    <t>Bi-metal Clamp</t>
  </si>
  <si>
    <t>Single Hook Bracket for Insulated Cable</t>
  </si>
  <si>
    <t>Stainless Steel Strap(20x0.7mm)</t>
  </si>
  <si>
    <t>Buckle for Strap</t>
  </si>
  <si>
    <t>Outdoor Distribution Box(10"Wx12"Hx6"D) Complete with 1 in+6 out Block &amp; 3/8"f 13 Neutral Bus-bar with Bolt &amp; Nut</t>
  </si>
  <si>
    <t>Bimetal Cable Lug 35mm2 (Al-Cu)</t>
  </si>
  <si>
    <t>၂၀၁၅-၂၀၁၆ ခုနှစ် ဘဏ္ဍာရေးနှစ်တွင် တိုင်းဒေသကြီးဘတ်ဂျတ်ဖြင့် ဆောင်ရွက်မည့် 
လုပ်ငန်းများအတွက် လိုအပ်သော ပစ္စည်းစာရင်း</t>
  </si>
  <si>
    <t>Distribution Panel(3P,400V, 200A)</t>
  </si>
  <si>
    <t>HDBC No.8</t>
  </si>
  <si>
    <t>600 V Insulated Cable (ABC Cable) (4Cx95mm2)</t>
  </si>
  <si>
    <t>600 V Insulated Cable (ABC Cable) (1Cx35mm2)</t>
  </si>
  <si>
    <t>Suspension Clamp for Insulated Cable(4Cx95mm2)</t>
  </si>
  <si>
    <t>Anchoring Clamp for Insulated Cable(4Cx95mm2)</t>
  </si>
  <si>
    <t>Insulated Cable Conductor (95-95)mm2</t>
  </si>
  <si>
    <t>Insulated Cable Conductor (35-95)mm2</t>
  </si>
  <si>
    <t>Sr.No</t>
  </si>
  <si>
    <t>Quantities</t>
  </si>
  <si>
    <r>
      <t>400 V, 1 Core, 185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</si>
  <si>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95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</si>
  <si>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70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</si>
  <si>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10</t>
    </r>
    <r>
      <rPr>
        <sz val="16"/>
        <rFont val="Myanmar3"/>
        <family val="1"/>
      </rPr>
      <t>)G.I Wire for Stay</t>
    </r>
  </si>
  <si>
    <r>
      <t>Copper Cable Lug for 185 mm</t>
    </r>
    <r>
      <rPr>
        <vertAlign val="superscript"/>
        <sz val="16"/>
        <rFont val="Myanmar3"/>
        <family val="1"/>
      </rPr>
      <t>2</t>
    </r>
  </si>
  <si>
    <r>
      <t>Copper Cable Lug for 95 mm</t>
    </r>
    <r>
      <rPr>
        <vertAlign val="superscript"/>
        <sz val="16"/>
        <rFont val="Myanmar3"/>
        <family val="1"/>
      </rPr>
      <t>2</t>
    </r>
  </si>
  <si>
    <r>
      <t>Copper Cable Lug for 70 mm</t>
    </r>
    <r>
      <rPr>
        <vertAlign val="superscript"/>
        <sz val="16"/>
        <rFont val="Myanmar3"/>
        <family val="1"/>
      </rPr>
      <t>2</t>
    </r>
  </si>
  <si>
    <r>
      <t>P.G Clamp for 95 mm</t>
    </r>
    <r>
      <rPr>
        <vertAlign val="superscript"/>
        <sz val="16"/>
        <rFont val="Myanmar3"/>
        <family val="1"/>
      </rPr>
      <t>2</t>
    </r>
  </si>
  <si>
    <r>
      <t>ACSR 95 mm</t>
    </r>
    <r>
      <rPr>
        <vertAlign val="superscript"/>
        <sz val="16"/>
        <rFont val="Myanmar3"/>
        <family val="1"/>
      </rPr>
      <t>2</t>
    </r>
  </si>
  <si>
    <r>
      <t>400 V, 1 Core, 150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</si>
  <si>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16</t>
    </r>
    <r>
      <rPr>
        <sz val="16"/>
        <rFont val="Myanmar3"/>
        <family val="1"/>
      </rPr>
      <t>)G.I Wire for Stay</t>
    </r>
  </si>
  <si>
    <r>
      <t>Copper Cable Lug for 150 mm</t>
    </r>
    <r>
      <rPr>
        <vertAlign val="superscript"/>
        <sz val="16"/>
        <rFont val="Myanmar3"/>
        <family val="1"/>
      </rPr>
      <t>2</t>
    </r>
  </si>
  <si>
    <t xml:space="preserve"> Main Materials List Transported to Bago (West)  Region Office</t>
  </si>
  <si>
    <t>To Be Prisent for Every Bago (West) Division</t>
  </si>
  <si>
    <t>To be Electricfied Villages</t>
  </si>
  <si>
    <t>To be Present Electrified Villages</t>
  </si>
  <si>
    <t>Thar</t>
  </si>
  <si>
    <t>kgk</t>
  </si>
  <si>
    <t>PD</t>
  </si>
  <si>
    <t xml:space="preserve">Transported Site </t>
  </si>
  <si>
    <t xml:space="preserve">Estimated Amount
(Mil USD) </t>
  </si>
  <si>
    <t xml:space="preserve">Datkhinathiri 
District , PMO Office
</t>
  </si>
  <si>
    <t>Bago(West)
Divison, Store</t>
  </si>
  <si>
    <t>Thayawady District, Office</t>
  </si>
  <si>
    <t>Gyobingaut Township, TSP Office</t>
  </si>
  <si>
    <t>Pungde Township, TSP Office</t>
  </si>
  <si>
    <r>
      <t>400 V, 1 Core, 185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</si>
  <si>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150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</si>
  <si>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95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</si>
  <si>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70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</si>
  <si>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Copper Cable Lug for 185 mm</t>
    </r>
    <r>
      <rPr>
        <vertAlign val="superscript"/>
        <sz val="14"/>
        <rFont val="Myanmar2"/>
        <family val="2"/>
      </rPr>
      <t>2</t>
    </r>
  </si>
  <si>
    <r>
      <t>Copper Cable Lug for 150 mm</t>
    </r>
    <r>
      <rPr>
        <vertAlign val="superscript"/>
        <sz val="14"/>
        <rFont val="Myanmar2"/>
        <family val="2"/>
      </rPr>
      <t>2</t>
    </r>
  </si>
  <si>
    <r>
      <t>Copper Cable Lug for 95 mm</t>
    </r>
    <r>
      <rPr>
        <vertAlign val="superscript"/>
        <sz val="14"/>
        <rFont val="Myanmar2"/>
        <family val="2"/>
      </rPr>
      <t>2</t>
    </r>
  </si>
  <si>
    <r>
      <t>Copper Cable Lug for 70 mm</t>
    </r>
    <r>
      <rPr>
        <vertAlign val="superscript"/>
        <sz val="14"/>
        <rFont val="Myanmar2"/>
        <family val="2"/>
      </rPr>
      <t>2</t>
    </r>
  </si>
  <si>
    <r>
      <t>P.G Clamp for 95 mm</t>
    </r>
    <r>
      <rPr>
        <vertAlign val="superscript"/>
        <sz val="14"/>
        <rFont val="Myanmar2"/>
        <family val="2"/>
      </rPr>
      <t>2</t>
    </r>
  </si>
  <si>
    <r>
      <t>ACSR 95 mm</t>
    </r>
    <r>
      <rPr>
        <vertAlign val="superscript"/>
        <sz val="14"/>
        <rFont val="Myanmar2"/>
        <family val="2"/>
      </rPr>
      <t>2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</si>
  <si>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10</t>
    </r>
    <r>
      <rPr>
        <sz val="14"/>
        <rFont val="Myanmar2"/>
        <family val="2"/>
      </rPr>
      <t>)G.I Wire for Stay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</si>
  <si>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16</t>
    </r>
    <r>
      <rPr>
        <sz val="14"/>
        <rFont val="Myanmar2"/>
        <family val="2"/>
      </rPr>
      <t>)G.I Wire for Stay</t>
    </r>
  </si>
  <si>
    <t>Transported Site</t>
  </si>
  <si>
    <t>11/0.4 kV, Distribution Transformer</t>
  </si>
  <si>
    <t>Lighting Arrestor, Drop out Fuse, Disconnnector</t>
  </si>
  <si>
    <t>Other Materials</t>
  </si>
  <si>
    <t>1 Lot</t>
  </si>
  <si>
    <t>199 Nos</t>
  </si>
  <si>
    <t>8546 Nos</t>
  </si>
  <si>
    <r>
      <t>ACSR 95 mm</t>
    </r>
    <r>
      <rPr>
        <vertAlign val="superscript"/>
        <sz val="20"/>
        <rFont val="Myanmar2"/>
        <family val="2"/>
      </rPr>
      <t>2</t>
    </r>
  </si>
  <si>
    <r>
      <t>400 V, 1 Core, 185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</si>
  <si>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150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</si>
  <si>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95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</si>
  <si>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70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</si>
  <si>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10</t>
    </r>
    <r>
      <rPr>
        <sz val="20"/>
        <rFont val="Myanmar2"/>
        <family val="2"/>
      </rPr>
      <t>)G.I Wire for Stay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</si>
  <si>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16</t>
    </r>
    <r>
      <rPr>
        <sz val="20"/>
        <rFont val="Myanmar2"/>
        <family val="2"/>
      </rPr>
      <t>)G.I Wire for Stay</t>
    </r>
  </si>
  <si>
    <r>
      <t>Copper Cable Lug for 185 mm</t>
    </r>
    <r>
      <rPr>
        <vertAlign val="superscript"/>
        <sz val="20"/>
        <rFont val="Myanmar2"/>
        <family val="2"/>
      </rPr>
      <t>2</t>
    </r>
  </si>
  <si>
    <r>
      <t>Copper Cable Lug for 150 mm</t>
    </r>
    <r>
      <rPr>
        <vertAlign val="superscript"/>
        <sz val="20"/>
        <rFont val="Myanmar2"/>
        <family val="2"/>
      </rPr>
      <t>2</t>
    </r>
  </si>
  <si>
    <r>
      <t>Copper Cable Lug for 95 mm</t>
    </r>
    <r>
      <rPr>
        <vertAlign val="superscript"/>
        <sz val="20"/>
        <rFont val="Myanmar2"/>
        <family val="2"/>
      </rPr>
      <t>2</t>
    </r>
  </si>
  <si>
    <r>
      <t>Copper Cable Lug for 70 mm</t>
    </r>
    <r>
      <rPr>
        <vertAlign val="superscript"/>
        <sz val="20"/>
        <rFont val="Myanmar2"/>
        <family val="2"/>
      </rPr>
      <t>2</t>
    </r>
  </si>
  <si>
    <r>
      <t>P.G Clamp for 95 mm</t>
    </r>
    <r>
      <rPr>
        <vertAlign val="superscript"/>
        <sz val="20"/>
        <rFont val="Myanmar2"/>
        <family val="2"/>
      </rPr>
      <t>2</t>
    </r>
  </si>
  <si>
    <t>375 Tons</t>
  </si>
  <si>
    <t>6417 Set</t>
  </si>
  <si>
    <t>22728 Nos</t>
  </si>
  <si>
    <t>199 Set</t>
  </si>
  <si>
    <t>327 Nos</t>
  </si>
  <si>
    <t>9852 Nos</t>
  </si>
  <si>
    <t>423 Tons</t>
  </si>
  <si>
    <t>7551 Set</t>
  </si>
  <si>
    <t>2627 Nos</t>
  </si>
  <si>
    <t>327 Set</t>
  </si>
  <si>
    <t xml:space="preserve"> Main Materials List Transported to Thayawady District  Office</t>
  </si>
  <si>
    <t xml:space="preserve"> Main Materials List Transported to Gyobingauk Township  Office</t>
  </si>
  <si>
    <t>263 Nos</t>
  </si>
  <si>
    <t>9136 Nos</t>
  </si>
  <si>
    <t>396 Tons</t>
  </si>
  <si>
    <t>6939 Set</t>
  </si>
  <si>
    <t>24333 Nos</t>
  </si>
  <si>
    <t>263 Set</t>
  </si>
  <si>
    <t>Gyobingauk Township, Office</t>
  </si>
  <si>
    <t xml:space="preserve"> Main Materials List Transported to Paungde Township  Office</t>
  </si>
  <si>
    <t>Paungde Township, Office</t>
  </si>
  <si>
    <t>123 Nos</t>
  </si>
  <si>
    <t>6504 Nos</t>
  </si>
  <si>
    <t>288 Tons</t>
  </si>
  <si>
    <t>4839 Set</t>
  </si>
  <si>
    <t>17277 Nos</t>
  </si>
  <si>
    <t>123 Set</t>
  </si>
  <si>
    <t>Bago(West) Division, Store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</si>
</sst>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[$-10000455]0.0"/>
    <numFmt numFmtId="165" formatCode="[$-10000455]0.00"/>
    <numFmt numFmtId="166" formatCode="[$-10000455]0"/>
    <numFmt numFmtId="167" formatCode="[$-10000455]0.#"/>
    <numFmt numFmtId="168" formatCode="[$-10000455]0.##"/>
    <numFmt numFmtId="169" formatCode="0.0"/>
    <numFmt numFmtId="170" formatCode="[$-10000455]0.###"/>
    <numFmt numFmtId="171" formatCode="[$-10000455]0.####"/>
    <numFmt numFmtId="172" formatCode="[$-10000455]0.##########"/>
    <numFmt numFmtId="173" formatCode="[$-10000455]0.############"/>
    <numFmt numFmtId="174" formatCode="[$-10000455]0.000"/>
    <numFmt numFmtId="175" formatCode="_(* #,##0_);_(* \(#,##0\);_(* &quot;-&quot;??_);_(@_)"/>
    <numFmt numFmtId="176" formatCode="_(* #,##0.0_);_(* \(#,##0.0\);_(* &quot;-&quot;??_);_(@_)"/>
  </numFmts>
  <fonts count="37">
    <font>
      <sz val="11"/>
      <color theme="1"/>
      <name val="Calibri"/>
      <family val="2"/>
      <scheme val="minor"/>
    </font>
    <font>
      <b/>
      <sz val="14"/>
      <color theme="1"/>
      <name val="Myanmar2"/>
      <family val="2"/>
    </font>
    <font>
      <b/>
      <sz val="12"/>
      <color theme="1"/>
      <name val="Myanmar2"/>
      <family val="2"/>
    </font>
    <font>
      <b/>
      <sz val="13"/>
      <color theme="1"/>
      <name val="Myanmar2"/>
      <family val="2"/>
    </font>
    <font>
      <b/>
      <sz val="12"/>
      <color rgb="FF040AFA"/>
      <name val="Myanmar2"/>
      <family val="2"/>
    </font>
    <font>
      <b/>
      <sz val="12"/>
      <name val="Myanmar2"/>
      <family val="2"/>
    </font>
    <font>
      <b/>
      <sz val="13"/>
      <name val="Myanmar2"/>
      <family val="2"/>
    </font>
    <font>
      <b/>
      <sz val="12"/>
      <color rgb="FF000000"/>
      <name val="Myanmar2"/>
      <family val="2"/>
    </font>
    <font>
      <b/>
      <sz val="12"/>
      <color rgb="FFFF0000"/>
      <name val="Myanmar2"/>
      <family val="2"/>
    </font>
    <font>
      <b/>
      <sz val="13"/>
      <color rgb="FFFF0000"/>
      <name val="Myanmar2"/>
      <family val="2"/>
    </font>
    <font>
      <b/>
      <sz val="13"/>
      <color theme="1" tint="4.9989318521683403E-2"/>
      <name val="Myanmar2"/>
      <family val="2"/>
    </font>
    <font>
      <b/>
      <sz val="12"/>
      <color theme="1" tint="4.9989318521683403E-2"/>
      <name val="Myanmar2"/>
      <family val="2"/>
    </font>
    <font>
      <b/>
      <sz val="12"/>
      <color rgb="FF0000FF"/>
      <name val="Myanmar2"/>
      <family val="2"/>
    </font>
    <font>
      <b/>
      <sz val="13"/>
      <color rgb="FF000000"/>
      <name val="Myanmar2"/>
      <family val="2"/>
    </font>
    <font>
      <b/>
      <sz val="12"/>
      <color rgb="FF0070C0"/>
      <name val="Myanmar2"/>
      <family val="2"/>
    </font>
    <font>
      <b/>
      <sz val="14"/>
      <color theme="1" tint="4.9989318521683403E-2"/>
      <name val="Myanmar2"/>
      <family val="2"/>
    </font>
    <font>
      <sz val="11"/>
      <color theme="1"/>
      <name val="Calibri"/>
      <family val="2"/>
      <scheme val="minor"/>
    </font>
    <font>
      <sz val="14"/>
      <color theme="1"/>
      <name val="Myanmar2"/>
      <family val="2"/>
    </font>
    <font>
      <sz val="14"/>
      <color theme="1" tint="4.9989318521683403E-2"/>
      <name val="Myanmar2"/>
      <family val="2"/>
    </font>
    <font>
      <sz val="14"/>
      <name val="Myanmar2"/>
      <family val="2"/>
    </font>
    <font>
      <b/>
      <sz val="14"/>
      <color rgb="FF040AFA"/>
      <name val="Myanmar2"/>
      <family val="2"/>
    </font>
    <font>
      <b/>
      <sz val="14"/>
      <name val="Myanmar2"/>
      <family val="2"/>
    </font>
    <font>
      <u/>
      <sz val="14"/>
      <name val="Myanmar2"/>
      <family val="2"/>
    </font>
    <font>
      <vertAlign val="superscript"/>
      <sz val="14"/>
      <color theme="1"/>
      <name val="Myanmar2"/>
      <family val="2"/>
    </font>
    <font>
      <sz val="11"/>
      <name val="Calibri"/>
      <family val="2"/>
      <scheme val="minor"/>
    </font>
    <font>
      <sz val="16"/>
      <name val="Myanmar3"/>
      <family val="1"/>
    </font>
    <font>
      <b/>
      <sz val="16"/>
      <name val="Myanmar3"/>
      <family val="1"/>
    </font>
    <font>
      <vertAlign val="superscript"/>
      <sz val="16"/>
      <name val="Myanmar3"/>
      <family val="1"/>
    </font>
    <font>
      <vertAlign val="subscript"/>
      <sz val="16"/>
      <name val="Myanmar3"/>
      <family val="1"/>
    </font>
    <font>
      <vertAlign val="superscript"/>
      <sz val="14"/>
      <name val="Myanmar2"/>
      <family val="2"/>
    </font>
    <font>
      <vertAlign val="subscript"/>
      <sz val="14"/>
      <name val="Myanmar2"/>
      <family val="2"/>
    </font>
    <font>
      <b/>
      <sz val="20"/>
      <name val="Myanmar2"/>
      <family val="2"/>
    </font>
    <font>
      <sz val="20"/>
      <name val="Myanmar2"/>
      <family val="2"/>
    </font>
    <font>
      <vertAlign val="superscript"/>
      <sz val="20"/>
      <name val="Myanmar2"/>
      <family val="2"/>
    </font>
    <font>
      <vertAlign val="subscript"/>
      <sz val="20"/>
      <name val="Myanmar2"/>
      <family val="2"/>
    </font>
    <font>
      <b/>
      <sz val="22"/>
      <color rgb="FF0000CC"/>
      <name val="Myanmar2"/>
      <family val="2"/>
    </font>
    <font>
      <b/>
      <sz val="22"/>
      <name val="Myanmar2"/>
      <family val="2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A8B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9CDC7"/>
        <bgColor indexed="64"/>
      </patternFill>
    </fill>
    <fill>
      <patternFill patternType="solid">
        <fgColor rgb="FFB9CDFF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780">
    <xf numFmtId="0" fontId="0" fillId="0" borderId="0" xfId="0"/>
    <xf numFmtId="166" fontId="3" fillId="3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166" fontId="2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166" fontId="2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left" vertical="center"/>
    </xf>
    <xf numFmtId="166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166" fontId="2" fillId="3" borderId="2" xfId="0" applyNumberFormat="1" applyFont="1" applyFill="1" applyBorder="1" applyAlignment="1">
      <alignment horizontal="center" vertical="center"/>
    </xf>
    <xf numFmtId="165" fontId="2" fillId="6" borderId="11" xfId="0" applyNumberFormat="1" applyFont="1" applyFill="1" applyBorder="1" applyAlignment="1">
      <alignment horizontal="right" vertical="center"/>
    </xf>
    <xf numFmtId="165" fontId="2" fillId="6" borderId="12" xfId="0" applyNumberFormat="1" applyFont="1" applyFill="1" applyBorder="1" applyAlignment="1">
      <alignment horizontal="right" vertical="center"/>
    </xf>
    <xf numFmtId="165" fontId="2" fillId="6" borderId="13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11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right" vertical="center" wrapText="1"/>
    </xf>
    <xf numFmtId="166" fontId="2" fillId="0" borderId="12" xfId="0" applyNumberFormat="1" applyFont="1" applyFill="1" applyBorder="1" applyAlignment="1">
      <alignment horizontal="left" vertical="center"/>
    </xf>
    <xf numFmtId="166" fontId="2" fillId="0" borderId="12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/>
    </xf>
    <xf numFmtId="166" fontId="2" fillId="0" borderId="13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 wrapText="1"/>
    </xf>
    <xf numFmtId="0" fontId="1" fillId="7" borderId="7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readingOrder="1"/>
    </xf>
    <xf numFmtId="166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 readingOrder="1"/>
    </xf>
    <xf numFmtId="168" fontId="7" fillId="0" borderId="0" xfId="0" applyNumberFormat="1" applyFont="1" applyFill="1" applyBorder="1" applyAlignment="1">
      <alignment horizontal="center" vertical="center" wrapText="1" readingOrder="1"/>
    </xf>
    <xf numFmtId="168" fontId="5" fillId="0" borderId="0" xfId="0" applyNumberFormat="1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8" fontId="7" fillId="0" borderId="11" xfId="0" applyNumberFormat="1" applyFont="1" applyFill="1" applyBorder="1" applyAlignment="1">
      <alignment horizontal="right" vertical="center" wrapText="1" readingOrder="1"/>
    </xf>
    <xf numFmtId="168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12" xfId="0" applyFont="1" applyFill="1" applyBorder="1" applyAlignment="1">
      <alignment horizontal="left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8" fontId="7" fillId="0" borderId="12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right" vertical="center" wrapText="1" readingOrder="1"/>
    </xf>
    <xf numFmtId="0" fontId="5" fillId="0" borderId="13" xfId="0" applyFont="1" applyFill="1" applyBorder="1" applyAlignment="1">
      <alignment horizontal="left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8" fontId="7" fillId="0" borderId="13" xfId="0" applyNumberFormat="1" applyFont="1" applyFill="1" applyBorder="1" applyAlignment="1">
      <alignment horizontal="right" vertical="center" wrapText="1" readingOrder="1"/>
    </xf>
    <xf numFmtId="168" fontId="5" fillId="0" borderId="13" xfId="0" applyNumberFormat="1" applyFont="1" applyFill="1" applyBorder="1" applyAlignment="1">
      <alignment horizontal="right" vertical="center" wrapText="1" readingOrder="1"/>
    </xf>
    <xf numFmtId="168" fontId="2" fillId="0" borderId="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2" xfId="0" applyNumberFormat="1" applyFont="1" applyFill="1" applyBorder="1" applyAlignment="1">
      <alignment horizontal="left" vertical="center" wrapText="1" readingOrder="1"/>
    </xf>
    <xf numFmtId="0" fontId="5" fillId="0" borderId="12" xfId="0" applyFont="1" applyFill="1" applyBorder="1" applyAlignment="1">
      <alignment horizontal="lef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3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left" vertical="center" wrapText="1" readingOrder="1"/>
    </xf>
    <xf numFmtId="0" fontId="2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 readingOrder="1"/>
    </xf>
    <xf numFmtId="0" fontId="2" fillId="0" borderId="12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10" fillId="6" borderId="2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right" vertical="center" wrapText="1" readingOrder="1"/>
    </xf>
    <xf numFmtId="165" fontId="6" fillId="6" borderId="2" xfId="0" applyNumberFormat="1" applyFont="1" applyFill="1" applyBorder="1" applyAlignment="1">
      <alignment horizontal="right" vertical="center" wrapText="1" readingOrder="1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6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horizontal="right" vertical="center"/>
    </xf>
    <xf numFmtId="165" fontId="6" fillId="0" borderId="2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 wrapText="1" readingOrder="1"/>
    </xf>
    <xf numFmtId="165" fontId="6" fillId="0" borderId="7" xfId="0" applyNumberFormat="1" applyFont="1" applyFill="1" applyBorder="1" applyAlignment="1">
      <alignment horizontal="right" vertical="center" wrapText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 readingOrder="1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6" xfId="0" applyNumberFormat="1" applyFont="1" applyFill="1" applyBorder="1" applyAlignment="1">
      <alignment horizontal="righ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164" fontId="6" fillId="0" borderId="6" xfId="0" applyNumberFormat="1" applyFont="1" applyFill="1" applyBorder="1" applyAlignment="1">
      <alignment horizontal="right" vertical="center" wrapText="1" readingOrder="1"/>
    </xf>
    <xf numFmtId="165" fontId="6" fillId="0" borderId="6" xfId="0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 wrapText="1"/>
    </xf>
    <xf numFmtId="166" fontId="5" fillId="0" borderId="11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168" fontId="5" fillId="0" borderId="13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right" vertical="center"/>
    </xf>
    <xf numFmtId="174" fontId="5" fillId="0" borderId="12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horizontal="center" vertical="center"/>
    </xf>
    <xf numFmtId="165" fontId="6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vertical="center"/>
    </xf>
    <xf numFmtId="165" fontId="6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166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6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2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>
      <alignment horizontal="center" vertical="center" wrapText="1"/>
    </xf>
    <xf numFmtId="168" fontId="2" fillId="0" borderId="12" xfId="0" applyNumberFormat="1" applyFont="1" applyFill="1" applyBorder="1" applyAlignment="1">
      <alignment horizontal="center" vertical="center" wrapText="1"/>
    </xf>
    <xf numFmtId="168" fontId="2" fillId="0" borderId="1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 readingOrder="1"/>
    </xf>
    <xf numFmtId="168" fontId="5" fillId="3" borderId="2" xfId="0" applyNumberFormat="1" applyFont="1" applyFill="1" applyBorder="1" applyAlignment="1">
      <alignment horizontal="center" vertical="center"/>
    </xf>
    <xf numFmtId="168" fontId="6" fillId="3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7" fontId="6" fillId="3" borderId="2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6" fontId="6" fillId="0" borderId="11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horizontal="right" vertical="center"/>
    </xf>
    <xf numFmtId="167" fontId="6" fillId="0" borderId="11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right" vertical="center"/>
    </xf>
    <xf numFmtId="168" fontId="6" fillId="0" borderId="12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vertical="center"/>
    </xf>
    <xf numFmtId="167" fontId="6" fillId="0" borderId="12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vertical="center"/>
    </xf>
    <xf numFmtId="167" fontId="5" fillId="0" borderId="11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right" vertical="center"/>
    </xf>
    <xf numFmtId="166" fontId="5" fillId="0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vertical="center"/>
    </xf>
    <xf numFmtId="166" fontId="5" fillId="5" borderId="12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horizontal="right" vertical="center"/>
    </xf>
    <xf numFmtId="167" fontId="5" fillId="5" borderId="12" xfId="0" applyNumberFormat="1" applyFont="1" applyFill="1" applyBorder="1" applyAlignment="1">
      <alignment horizontal="right" vertical="center"/>
    </xf>
    <xf numFmtId="166" fontId="5" fillId="5" borderId="12" xfId="0" applyNumberFormat="1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7" fontId="5" fillId="0" borderId="13" xfId="0" applyNumberFormat="1" applyFont="1" applyFill="1" applyBorder="1" applyAlignment="1">
      <alignment horizontal="right" vertical="center"/>
    </xf>
    <xf numFmtId="166" fontId="6" fillId="3" borderId="19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vertical="center"/>
    </xf>
    <xf numFmtId="166" fontId="6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vertical="center"/>
    </xf>
    <xf numFmtId="168" fontId="5" fillId="0" borderId="8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center" vertical="center" wrapText="1" readingOrder="1"/>
    </xf>
    <xf numFmtId="166" fontId="11" fillId="3" borderId="2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165" fontId="11" fillId="3" borderId="2" xfId="0" applyNumberFormat="1" applyFont="1" applyFill="1" applyBorder="1" applyAlignment="1">
      <alignment horizontal="right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center" wrapText="1" readingOrder="1"/>
    </xf>
    <xf numFmtId="168" fontId="7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left" vertical="center" wrapText="1" readingOrder="1"/>
    </xf>
    <xf numFmtId="166" fontId="5" fillId="0" borderId="1" xfId="0" applyNumberFormat="1" applyFont="1" applyFill="1" applyBorder="1" applyAlignment="1">
      <alignment horizontal="center" vertical="center" wrapText="1" readingOrder="1"/>
    </xf>
    <xf numFmtId="167" fontId="5" fillId="0" borderId="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165" fontId="2" fillId="6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left" vertical="center" wrapText="1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3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vertical="center"/>
    </xf>
    <xf numFmtId="166" fontId="7" fillId="0" borderId="13" xfId="0" applyNumberFormat="1" applyFont="1" applyFill="1" applyBorder="1" applyAlignment="1">
      <alignment horizontal="center" vertical="center" wrapText="1" readingOrder="1"/>
    </xf>
    <xf numFmtId="166" fontId="5" fillId="3" borderId="6" xfId="0" applyNumberFormat="1" applyFont="1" applyFill="1" applyBorder="1" applyAlignment="1">
      <alignment horizontal="center" vertical="center" wrapText="1" readingOrder="1"/>
    </xf>
    <xf numFmtId="165" fontId="5" fillId="3" borderId="6" xfId="0" applyNumberFormat="1" applyFont="1" applyFill="1" applyBorder="1" applyAlignment="1">
      <alignment horizontal="center" vertical="center" wrapText="1" readingOrder="1"/>
    </xf>
    <xf numFmtId="0" fontId="8" fillId="3" borderId="6" xfId="0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horizontal="right" vertical="center" wrapText="1" readingOrder="1"/>
    </xf>
    <xf numFmtId="166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right" vertical="center" wrapText="1" readingOrder="1"/>
    </xf>
    <xf numFmtId="164" fontId="3" fillId="3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right" vertical="center" wrapText="1" readingOrder="1"/>
    </xf>
    <xf numFmtId="165" fontId="7" fillId="0" borderId="0" xfId="0" applyNumberFormat="1" applyFont="1" applyFill="1" applyBorder="1" applyAlignment="1">
      <alignment horizontal="right" vertical="center" wrapText="1" readingOrder="1"/>
    </xf>
    <xf numFmtId="165" fontId="5" fillId="0" borderId="0" xfId="0" applyNumberFormat="1" applyFont="1" applyFill="1" applyBorder="1" applyAlignment="1">
      <alignment horizontal="right" vertical="center" wrapText="1" readingOrder="1"/>
    </xf>
    <xf numFmtId="165" fontId="7" fillId="0" borderId="13" xfId="0" applyNumberFormat="1" applyFont="1" applyFill="1" applyBorder="1" applyAlignment="1">
      <alignment horizontal="center" vertical="center" wrapText="1" readingOrder="1"/>
    </xf>
    <xf numFmtId="166" fontId="2" fillId="4" borderId="6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right" vertical="center"/>
    </xf>
    <xf numFmtId="173" fontId="2" fillId="0" borderId="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 readingOrder="1"/>
    </xf>
    <xf numFmtId="171" fontId="7" fillId="0" borderId="13" xfId="0" applyNumberFormat="1" applyFont="1" applyFill="1" applyBorder="1" applyAlignment="1">
      <alignment horizontal="center" vertical="center" wrapText="1" readingOrder="1"/>
    </xf>
    <xf numFmtId="167" fontId="5" fillId="0" borderId="11" xfId="0" applyNumberFormat="1" applyFont="1" applyFill="1" applyBorder="1" applyAlignment="1">
      <alignment horizontal="center" vertical="center" wrapText="1" readingOrder="1"/>
    </xf>
    <xf numFmtId="0" fontId="2" fillId="3" borderId="6" xfId="0" applyFont="1" applyFill="1" applyBorder="1" applyAlignment="1">
      <alignment vertical="center"/>
    </xf>
    <xf numFmtId="166" fontId="2" fillId="3" borderId="6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right" vertical="center"/>
    </xf>
    <xf numFmtId="166" fontId="13" fillId="3" borderId="6" xfId="0" applyNumberFormat="1" applyFont="1" applyFill="1" applyBorder="1" applyAlignment="1">
      <alignment horizontal="center" vertical="center" wrapText="1" readingOrder="1"/>
    </xf>
    <xf numFmtId="165" fontId="13" fillId="3" borderId="6" xfId="0" applyNumberFormat="1" applyFont="1" applyFill="1" applyBorder="1" applyAlignment="1">
      <alignment horizontal="center" vertical="center" wrapText="1" readingOrder="1"/>
    </xf>
    <xf numFmtId="0" fontId="3" fillId="3" borderId="6" xfId="0" applyFont="1" applyFill="1" applyBorder="1" applyAlignment="1">
      <alignment vertical="center"/>
    </xf>
    <xf numFmtId="166" fontId="3" fillId="3" borderId="6" xfId="0" applyNumberFormat="1" applyFont="1" applyFill="1" applyBorder="1" applyAlignment="1">
      <alignment horizontal="center" vertical="center"/>
    </xf>
    <xf numFmtId="165" fontId="13" fillId="3" borderId="6" xfId="0" applyNumberFormat="1" applyFont="1" applyFill="1" applyBorder="1" applyAlignment="1">
      <alignment horizontal="right" vertical="center" wrapText="1" readingOrder="1"/>
    </xf>
    <xf numFmtId="165" fontId="3" fillId="3" borderId="6" xfId="0" applyNumberFormat="1" applyFont="1" applyFill="1" applyBorder="1" applyAlignment="1">
      <alignment horizontal="right" vertical="center"/>
    </xf>
    <xf numFmtId="165" fontId="3" fillId="6" borderId="6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/>
    <xf numFmtId="168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left" vertical="center" wrapText="1" readingOrder="1"/>
    </xf>
    <xf numFmtId="164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13" xfId="0" applyNumberFormat="1" applyFont="1" applyFill="1" applyBorder="1" applyAlignment="1">
      <alignment horizontal="right" vertical="center" wrapText="1"/>
    </xf>
    <xf numFmtId="166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center" vertical="center"/>
    </xf>
    <xf numFmtId="174" fontId="5" fillId="0" borderId="12" xfId="0" applyNumberFormat="1" applyFont="1" applyFill="1" applyBorder="1" applyAlignment="1">
      <alignment horizontal="center" vertical="center"/>
    </xf>
    <xf numFmtId="174" fontId="5" fillId="0" borderId="13" xfId="0" applyNumberFormat="1" applyFont="1" applyFill="1" applyBorder="1" applyAlignment="1">
      <alignment horizontal="center" vertical="center"/>
    </xf>
    <xf numFmtId="174" fontId="5" fillId="3" borderId="2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70" fontId="2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2" fillId="9" borderId="2" xfId="0" applyNumberFormat="1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center" vertical="center"/>
    </xf>
    <xf numFmtId="165" fontId="10" fillId="9" borderId="2" xfId="0" applyNumberFormat="1" applyFont="1" applyFill="1" applyBorder="1" applyAlignment="1">
      <alignment horizontal="center" vertical="center" wrapText="1"/>
    </xf>
    <xf numFmtId="2" fontId="10" fillId="9" borderId="2" xfId="0" applyNumberFormat="1" applyFont="1" applyFill="1" applyBorder="1" applyAlignment="1">
      <alignment horizontal="center" vertical="center" wrapText="1"/>
    </xf>
    <xf numFmtId="168" fontId="11" fillId="9" borderId="11" xfId="0" applyNumberFormat="1" applyFont="1" applyFill="1" applyBorder="1" applyAlignment="1">
      <alignment vertical="center"/>
    </xf>
    <xf numFmtId="168" fontId="11" fillId="9" borderId="12" xfId="0" applyNumberFormat="1" applyFont="1" applyFill="1" applyBorder="1" applyAlignment="1">
      <alignment vertical="center"/>
    </xf>
    <xf numFmtId="168" fontId="11" fillId="9" borderId="13" xfId="0" applyNumberFormat="1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horizontal="right" vertical="center"/>
    </xf>
    <xf numFmtId="165" fontId="11" fillId="9" borderId="12" xfId="0" applyNumberFormat="1" applyFont="1" applyFill="1" applyBorder="1" applyAlignment="1">
      <alignment horizontal="right" vertical="center"/>
    </xf>
    <xf numFmtId="165" fontId="11" fillId="9" borderId="13" xfId="0" applyNumberFormat="1" applyFont="1" applyFill="1" applyBorder="1" applyAlignment="1">
      <alignment horizontal="right" vertical="center"/>
    </xf>
    <xf numFmtId="165" fontId="10" fillId="9" borderId="2" xfId="0" applyNumberFormat="1" applyFont="1" applyFill="1" applyBorder="1" applyAlignment="1">
      <alignment horizontal="right" vertical="center"/>
    </xf>
    <xf numFmtId="0" fontId="11" fillId="9" borderId="0" xfId="0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vertical="center"/>
    </xf>
    <xf numFmtId="165" fontId="11" fillId="9" borderId="12" xfId="0" applyNumberFormat="1" applyFont="1" applyFill="1" applyBorder="1" applyAlignment="1">
      <alignment horizontal="right" vertical="center" wrapText="1"/>
    </xf>
    <xf numFmtId="165" fontId="11" fillId="9" borderId="12" xfId="0" applyNumberFormat="1" applyFont="1" applyFill="1" applyBorder="1" applyAlignment="1">
      <alignment vertical="center"/>
    </xf>
    <xf numFmtId="165" fontId="11" fillId="9" borderId="13" xfId="0" applyNumberFormat="1" applyFont="1" applyFill="1" applyBorder="1" applyAlignment="1">
      <alignment vertical="center"/>
    </xf>
    <xf numFmtId="165" fontId="10" fillId="9" borderId="2" xfId="0" applyNumberFormat="1" applyFont="1" applyFill="1" applyBorder="1" applyAlignment="1">
      <alignment horizontal="right" vertical="center" wrapText="1"/>
    </xf>
    <xf numFmtId="49" fontId="6" fillId="10" borderId="2" xfId="0" applyNumberFormat="1" applyFont="1" applyFill="1" applyBorder="1" applyAlignment="1">
      <alignment vertical="center" wrapText="1"/>
    </xf>
    <xf numFmtId="49" fontId="6" fillId="10" borderId="2" xfId="0" applyNumberFormat="1" applyFont="1" applyFill="1" applyBorder="1" applyAlignment="1">
      <alignment horizontal="center" vertical="center" wrapText="1"/>
    </xf>
    <xf numFmtId="166" fontId="6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vertical="center"/>
    </xf>
    <xf numFmtId="166" fontId="3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right" vertical="center"/>
    </xf>
    <xf numFmtId="168" fontId="2" fillId="9" borderId="11" xfId="0" applyNumberFormat="1" applyFont="1" applyFill="1" applyBorder="1" applyAlignment="1">
      <alignment vertical="center"/>
    </xf>
    <xf numFmtId="168" fontId="2" fillId="9" borderId="12" xfId="0" applyNumberFormat="1" applyFont="1" applyFill="1" applyBorder="1" applyAlignment="1">
      <alignment vertical="center"/>
    </xf>
    <xf numFmtId="168" fontId="2" fillId="9" borderId="13" xfId="0" applyNumberFormat="1" applyFont="1" applyFill="1" applyBorder="1" applyAlignment="1">
      <alignment vertical="center"/>
    </xf>
    <xf numFmtId="168" fontId="6" fillId="9" borderId="2" xfId="0" applyNumberFormat="1" applyFont="1" applyFill="1" applyBorder="1" applyAlignment="1">
      <alignment horizontal="right" vertical="center" wrapText="1" readingOrder="1"/>
    </xf>
    <xf numFmtId="168" fontId="2" fillId="9" borderId="12" xfId="0" applyNumberFormat="1" applyFont="1" applyFill="1" applyBorder="1" applyAlignment="1">
      <alignment horizontal="right" vertical="center"/>
    </xf>
    <xf numFmtId="168" fontId="2" fillId="9" borderId="13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right" vertical="center" wrapText="1" readingOrder="1"/>
    </xf>
    <xf numFmtId="165" fontId="3" fillId="9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2" fillId="9" borderId="0" xfId="0" applyFont="1" applyFill="1" applyAlignment="1">
      <alignment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6" fillId="9" borderId="6" xfId="0" applyNumberFormat="1" applyFont="1" applyFill="1" applyBorder="1" applyAlignment="1">
      <alignment horizontal="right" vertical="center"/>
    </xf>
    <xf numFmtId="0" fontId="5" fillId="9" borderId="0" xfId="0" applyFont="1" applyFill="1" applyBorder="1" applyAlignment="1">
      <alignment vertical="center"/>
    </xf>
    <xf numFmtId="165" fontId="6" fillId="9" borderId="2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vertical="center"/>
    </xf>
    <xf numFmtId="168" fontId="5" fillId="9" borderId="12" xfId="0" applyNumberFormat="1" applyFont="1" applyFill="1" applyBorder="1" applyAlignment="1">
      <alignment vertical="center"/>
    </xf>
    <xf numFmtId="168" fontId="5" fillId="9" borderId="13" xfId="0" applyNumberFormat="1" applyFont="1" applyFill="1" applyBorder="1" applyAlignment="1">
      <alignment vertical="center"/>
    </xf>
    <xf numFmtId="169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vertical="center"/>
    </xf>
    <xf numFmtId="165" fontId="5" fillId="9" borderId="12" xfId="0" applyNumberFormat="1" applyFont="1" applyFill="1" applyBorder="1" applyAlignment="1">
      <alignment vertical="center"/>
    </xf>
    <xf numFmtId="165" fontId="5" fillId="9" borderId="13" xfId="0" applyNumberFormat="1" applyFont="1" applyFill="1" applyBorder="1" applyAlignment="1">
      <alignment vertical="center"/>
    </xf>
    <xf numFmtId="168" fontId="6" fillId="9" borderId="0" xfId="0" applyNumberFormat="1" applyFont="1" applyFill="1" applyBorder="1" applyAlignment="1">
      <alignment vertical="center"/>
    </xf>
    <xf numFmtId="0" fontId="6" fillId="9" borderId="0" xfId="0" applyFont="1" applyFill="1" applyBorder="1" applyAlignment="1">
      <alignment vertical="center"/>
    </xf>
    <xf numFmtId="165" fontId="6" fillId="9" borderId="19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Alignment="1">
      <alignment vertical="center"/>
    </xf>
    <xf numFmtId="165" fontId="6" fillId="9" borderId="11" xfId="0" applyNumberFormat="1" applyFont="1" applyFill="1" applyBorder="1" applyAlignment="1">
      <alignment vertical="center"/>
    </xf>
    <xf numFmtId="165" fontId="6" fillId="9" borderId="12" xfId="0" applyNumberFormat="1" applyFont="1" applyFill="1" applyBorder="1" applyAlignment="1">
      <alignment vertical="center"/>
    </xf>
    <xf numFmtId="165" fontId="6" fillId="9" borderId="13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vertical="center"/>
    </xf>
    <xf numFmtId="165" fontId="2" fillId="9" borderId="12" xfId="0" applyNumberFormat="1" applyFont="1" applyFill="1" applyBorder="1" applyAlignment="1">
      <alignment vertical="center"/>
    </xf>
    <xf numFmtId="165" fontId="2" fillId="9" borderId="13" xfId="0" applyNumberFormat="1" applyFont="1" applyFill="1" applyBorder="1" applyAlignment="1">
      <alignment vertical="center"/>
    </xf>
    <xf numFmtId="165" fontId="10" fillId="9" borderId="7" xfId="0" applyNumberFormat="1" applyFont="1" applyFill="1" applyBorder="1" applyAlignment="1">
      <alignment horizontal="center" vertical="center" wrapText="1"/>
    </xf>
    <xf numFmtId="2" fontId="10" fillId="9" borderId="7" xfId="0" applyNumberFormat="1" applyFont="1" applyFill="1" applyBorder="1" applyAlignment="1">
      <alignment horizontal="center" vertical="center" wrapText="1"/>
    </xf>
    <xf numFmtId="168" fontId="2" fillId="9" borderId="11" xfId="0" applyNumberFormat="1" applyFont="1" applyFill="1" applyBorder="1" applyAlignment="1">
      <alignment horizontal="right" vertical="center"/>
    </xf>
    <xf numFmtId="168" fontId="2" fillId="9" borderId="0" xfId="0" applyNumberFormat="1" applyFont="1" applyFill="1" applyBorder="1" applyAlignment="1">
      <alignment vertical="center"/>
    </xf>
    <xf numFmtId="164" fontId="6" fillId="9" borderId="0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horizontal="right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1" fillId="9" borderId="2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Border="1" applyAlignment="1">
      <alignment horizontal="right" vertical="center"/>
    </xf>
    <xf numFmtId="165" fontId="5" fillId="9" borderId="6" xfId="0" applyNumberFormat="1" applyFont="1" applyFill="1" applyBorder="1" applyAlignment="1">
      <alignment horizontal="right" vertical="center" wrapText="1" readingOrder="1"/>
    </xf>
    <xf numFmtId="165" fontId="2" fillId="3" borderId="6" xfId="0" applyNumberFormat="1" applyFont="1" applyFill="1" applyBorder="1" applyAlignment="1">
      <alignment horizontal="center" vertical="center"/>
    </xf>
    <xf numFmtId="166" fontId="7" fillId="3" borderId="13" xfId="0" applyNumberFormat="1" applyFont="1" applyFill="1" applyBorder="1" applyAlignment="1">
      <alignment horizontal="center" vertical="center" wrapText="1" readingOrder="1"/>
    </xf>
    <xf numFmtId="165" fontId="2" fillId="9" borderId="6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center" vertical="center"/>
    </xf>
    <xf numFmtId="165" fontId="6" fillId="9" borderId="7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168" fontId="5" fillId="9" borderId="0" xfId="0" applyNumberFormat="1" applyFont="1" applyFill="1" applyBorder="1" applyAlignment="1">
      <alignment horizontal="right" vertical="center"/>
    </xf>
    <xf numFmtId="165" fontId="5" fillId="9" borderId="0" xfId="0" applyNumberFormat="1" applyFont="1" applyFill="1" applyBorder="1" applyAlignment="1">
      <alignment horizontal="right" vertical="center"/>
    </xf>
    <xf numFmtId="170" fontId="5" fillId="9" borderId="0" xfId="0" applyNumberFormat="1" applyFont="1" applyFill="1" applyBorder="1" applyAlignment="1">
      <alignment vertical="center"/>
    </xf>
    <xf numFmtId="168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2" fontId="2" fillId="9" borderId="0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166" fontId="6" fillId="3" borderId="4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9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/>
    </xf>
    <xf numFmtId="16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165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vertical="center"/>
    </xf>
    <xf numFmtId="0" fontId="19" fillId="9" borderId="2" xfId="0" applyFont="1" applyFill="1" applyBorder="1" applyAlignment="1">
      <alignment vertical="center"/>
    </xf>
    <xf numFmtId="0" fontId="17" fillId="9" borderId="2" xfId="0" applyFont="1" applyFill="1" applyBorder="1" applyAlignment="1">
      <alignment vertical="center"/>
    </xf>
    <xf numFmtId="2" fontId="19" fillId="0" borderId="2" xfId="0" applyNumberFormat="1" applyFont="1" applyFill="1" applyBorder="1" applyAlignment="1">
      <alignment vertical="center"/>
    </xf>
    <xf numFmtId="2" fontId="19" fillId="9" borderId="2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/>
    <xf numFmtId="0" fontId="19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vertical="center"/>
    </xf>
    <xf numFmtId="0" fontId="17" fillId="0" borderId="0" xfId="0" applyFont="1" applyFill="1"/>
    <xf numFmtId="0" fontId="21" fillId="0" borderId="2" xfId="0" applyFont="1" applyFill="1" applyBorder="1" applyAlignment="1">
      <alignment horizontal="center" vertical="center"/>
    </xf>
    <xf numFmtId="0" fontId="24" fillId="0" borderId="0" xfId="0" applyFont="1" applyFill="1"/>
    <xf numFmtId="0" fontId="17" fillId="0" borderId="0" xfId="0" applyFont="1" applyFill="1" applyAlignment="1">
      <alignment vertical="top"/>
    </xf>
    <xf numFmtId="0" fontId="17" fillId="0" borderId="8" xfId="0" applyFont="1" applyFill="1" applyBorder="1" applyAlignment="1">
      <alignment horizontal="left" wrapText="1"/>
    </xf>
    <xf numFmtId="169" fontId="19" fillId="0" borderId="8" xfId="0" applyNumberFormat="1" applyFont="1" applyFill="1" applyBorder="1" applyAlignment="1">
      <alignment horizontal="center" vertical="center"/>
    </xf>
    <xf numFmtId="0" fontId="19" fillId="0" borderId="6" xfId="0" applyFont="1" applyFill="1" applyBorder="1"/>
    <xf numFmtId="175" fontId="21" fillId="0" borderId="2" xfId="1" applyNumberFormat="1" applyFont="1" applyFill="1" applyBorder="1" applyAlignment="1">
      <alignment horizontal="center" vertical="center"/>
    </xf>
    <xf numFmtId="175" fontId="21" fillId="0" borderId="8" xfId="1" applyNumberFormat="1" applyFont="1" applyFill="1" applyBorder="1" applyAlignment="1">
      <alignment horizontal="center" vertical="center"/>
    </xf>
    <xf numFmtId="176" fontId="19" fillId="0" borderId="8" xfId="1" applyNumberFormat="1" applyFont="1" applyFill="1" applyBorder="1" applyAlignment="1">
      <alignment horizontal="center" vertical="center"/>
    </xf>
    <xf numFmtId="175" fontId="19" fillId="0" borderId="8" xfId="1" applyNumberFormat="1" applyFont="1" applyFill="1" applyBorder="1" applyAlignment="1">
      <alignment horizontal="center" vertical="center"/>
    </xf>
    <xf numFmtId="0" fontId="22" fillId="0" borderId="8" xfId="0" applyFont="1" applyFill="1" applyBorder="1"/>
    <xf numFmtId="0" fontId="19" fillId="0" borderId="8" xfId="0" applyFont="1" applyFill="1" applyBorder="1"/>
    <xf numFmtId="43" fontId="19" fillId="0" borderId="8" xfId="1" applyNumberFormat="1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/>
    <xf numFmtId="175" fontId="19" fillId="0" borderId="0" xfId="1" applyNumberFormat="1" applyFont="1" applyFill="1"/>
    <xf numFmtId="176" fontId="21" fillId="0" borderId="2" xfId="1" applyNumberFormat="1" applyFont="1" applyFill="1" applyBorder="1" applyAlignment="1">
      <alignment horizontal="center" vertical="center"/>
    </xf>
    <xf numFmtId="0" fontId="21" fillId="0" borderId="0" xfId="0" applyFont="1" applyFill="1"/>
    <xf numFmtId="176" fontId="21" fillId="0" borderId="8" xfId="1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5" fillId="0" borderId="2" xfId="0" applyFont="1" applyFill="1" applyBorder="1"/>
    <xf numFmtId="0" fontId="25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vertical="top" wrapText="1"/>
    </xf>
    <xf numFmtId="0" fontId="25" fillId="0" borderId="0" xfId="0" applyFont="1" applyFill="1" applyAlignment="1">
      <alignment horizontal="center"/>
    </xf>
    <xf numFmtId="0" fontId="25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25" fillId="0" borderId="2" xfId="0" applyFont="1" applyFill="1" applyBorder="1" applyAlignment="1">
      <alignment horizontal="center" vertical="top"/>
    </xf>
    <xf numFmtId="0" fontId="26" fillId="0" borderId="2" xfId="0" applyFont="1" applyFill="1" applyBorder="1" applyAlignment="1">
      <alignment horizontal="center" vertical="center"/>
    </xf>
    <xf numFmtId="1" fontId="25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5" fillId="0" borderId="6" xfId="0" applyFont="1" applyFill="1" applyBorder="1"/>
    <xf numFmtId="0" fontId="19" fillId="0" borderId="0" xfId="0" applyFont="1" applyFill="1" applyAlignment="1">
      <alignment wrapText="1"/>
    </xf>
    <xf numFmtId="1" fontId="19" fillId="0" borderId="6" xfId="0" applyNumberFormat="1" applyFont="1" applyFill="1" applyBorder="1" applyAlignment="1">
      <alignment horizontal="right" vertical="center"/>
    </xf>
    <xf numFmtId="2" fontId="19" fillId="0" borderId="2" xfId="0" applyNumberFormat="1" applyFont="1" applyFill="1" applyBorder="1"/>
    <xf numFmtId="2" fontId="19" fillId="0" borderId="6" xfId="0" applyNumberFormat="1" applyFont="1" applyFill="1" applyBorder="1"/>
    <xf numFmtId="2" fontId="19" fillId="0" borderId="6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21" fillId="0" borderId="0" xfId="0" applyFont="1" applyFill="1" applyBorder="1"/>
    <xf numFmtId="0" fontId="21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top"/>
    </xf>
    <xf numFmtId="0" fontId="32" fillId="0" borderId="0" xfId="0" applyFont="1" applyFill="1"/>
    <xf numFmtId="0" fontId="32" fillId="0" borderId="2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vertical="center"/>
    </xf>
    <xf numFmtId="1" fontId="32" fillId="0" borderId="2" xfId="0" applyNumberFormat="1" applyFont="1" applyFill="1" applyBorder="1"/>
    <xf numFmtId="0" fontId="32" fillId="0" borderId="2" xfId="0" applyFont="1" applyFill="1" applyBorder="1" applyAlignment="1">
      <alignment vertical="center"/>
    </xf>
    <xf numFmtId="1" fontId="32" fillId="0" borderId="0" xfId="0" applyNumberFormat="1" applyFont="1" applyFill="1"/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31" fillId="0" borderId="2" xfId="0" applyFont="1" applyFill="1" applyBorder="1" applyAlignment="1">
      <alignment vertical="center"/>
    </xf>
    <xf numFmtId="0" fontId="32" fillId="0" borderId="2" xfId="0" applyFont="1" applyFill="1" applyBorder="1" applyAlignment="1">
      <alignment vertical="top" wrapText="1"/>
    </xf>
    <xf numFmtId="0" fontId="32" fillId="0" borderId="2" xfId="0" applyFont="1" applyFill="1" applyBorder="1" applyAlignment="1">
      <alignment vertical="center" wrapText="1"/>
    </xf>
    <xf numFmtId="0" fontId="32" fillId="0" borderId="2" xfId="0" applyFont="1" applyFill="1" applyBorder="1"/>
    <xf numFmtId="0" fontId="32" fillId="0" borderId="2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1" fontId="32" fillId="0" borderId="2" xfId="0" applyNumberFormat="1" applyFont="1" applyFill="1" applyBorder="1" applyAlignment="1">
      <alignment horizontal="right" vertical="center" indent="4"/>
    </xf>
    <xf numFmtId="2" fontId="32" fillId="0" borderId="2" xfId="0" applyNumberFormat="1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right" vertical="center" indent="4"/>
    </xf>
    <xf numFmtId="0" fontId="31" fillId="13" borderId="2" xfId="0" applyFont="1" applyFill="1" applyBorder="1" applyAlignment="1">
      <alignment horizontal="center" vertical="center"/>
    </xf>
    <xf numFmtId="0" fontId="31" fillId="13" borderId="2" xfId="0" applyFont="1" applyFill="1" applyBorder="1" applyAlignment="1">
      <alignment horizontal="center" vertical="center" wrapText="1"/>
    </xf>
    <xf numFmtId="0" fontId="31" fillId="0" borderId="0" xfId="0" applyFont="1" applyFill="1"/>
    <xf numFmtId="2" fontId="19" fillId="13" borderId="2" xfId="0" applyNumberFormat="1" applyFont="1" applyFill="1" applyBorder="1"/>
    <xf numFmtId="2" fontId="32" fillId="0" borderId="0" xfId="0" applyNumberFormat="1" applyFont="1" applyFill="1"/>
    <xf numFmtId="2" fontId="19" fillId="13" borderId="2" xfId="0" applyNumberFormat="1" applyFont="1" applyFill="1" applyBorder="1" applyAlignment="1">
      <alignment vertical="center"/>
    </xf>
    <xf numFmtId="0" fontId="32" fillId="5" borderId="0" xfId="0" applyFont="1" applyFill="1"/>
    <xf numFmtId="0" fontId="32" fillId="5" borderId="0" xfId="0" applyFont="1" applyFill="1" applyAlignment="1">
      <alignment horizontal="center"/>
    </xf>
    <xf numFmtId="0" fontId="17" fillId="12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 readingOrder="1"/>
    </xf>
    <xf numFmtId="165" fontId="18" fillId="0" borderId="2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8" fontId="2" fillId="9" borderId="11" xfId="0" applyNumberFormat="1" applyFont="1" applyFill="1" applyBorder="1" applyAlignment="1">
      <alignment horizontal="right" vertical="center"/>
    </xf>
    <xf numFmtId="0" fontId="2" fillId="9" borderId="12" xfId="0" applyFont="1" applyFill="1" applyBorder="1" applyAlignment="1">
      <alignment horizontal="right" vertical="center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center" vertical="center" wrapText="1" readingOrder="1"/>
    </xf>
    <xf numFmtId="166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168" fontId="2" fillId="9" borderId="12" xfId="0" applyNumberFormat="1" applyFont="1" applyFill="1" applyBorder="1" applyAlignment="1">
      <alignment horizontal="right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6" fontId="2" fillId="0" borderId="1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9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5" fillId="0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center" vertical="center"/>
    </xf>
    <xf numFmtId="167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2" fillId="0" borderId="8" xfId="0" applyNumberFormat="1" applyFont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166" fontId="5" fillId="0" borderId="12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right" vertical="center"/>
    </xf>
    <xf numFmtId="167" fontId="5" fillId="0" borderId="12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2" fillId="0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0" fillId="9" borderId="14" xfId="0" applyNumberFormat="1" applyFont="1" applyFill="1" applyBorder="1" applyAlignment="1">
      <alignment horizontal="center" vertical="center" wrapText="1"/>
    </xf>
    <xf numFmtId="165" fontId="10" fillId="9" borderId="15" xfId="0" applyNumberFormat="1" applyFont="1" applyFill="1" applyBorder="1" applyAlignment="1">
      <alignment horizontal="center" vertical="center" wrapText="1"/>
    </xf>
    <xf numFmtId="165" fontId="10" fillId="9" borderId="17" xfId="0" applyNumberFormat="1" applyFont="1" applyFill="1" applyBorder="1" applyAlignment="1">
      <alignment horizontal="center" vertical="center" wrapText="1"/>
    </xf>
    <xf numFmtId="165" fontId="10" fillId="9" borderId="1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5" fontId="2" fillId="9" borderId="11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5" fontId="10" fillId="9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horizontal="center" vertical="center" wrapText="1"/>
    </xf>
    <xf numFmtId="165" fontId="10" fillId="6" borderId="15" xfId="0" applyNumberFormat="1" applyFont="1" applyFill="1" applyBorder="1" applyAlignment="1">
      <alignment horizontal="center" vertical="center" wrapText="1"/>
    </xf>
    <xf numFmtId="165" fontId="10" fillId="6" borderId="17" xfId="0" applyNumberFormat="1" applyFont="1" applyFill="1" applyBorder="1" applyAlignment="1">
      <alignment horizontal="center" vertical="center" wrapText="1"/>
    </xf>
    <xf numFmtId="165" fontId="10" fillId="6" borderId="18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 readingOrder="1"/>
    </xf>
    <xf numFmtId="174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CC"/>
      <color rgb="FF0D0333"/>
      <color rgb="FF120F27"/>
      <color rgb="FF221D4B"/>
      <color rgb="FF433894"/>
      <color rgb="FF6F64C4"/>
      <color rgb="FFB9CDFF"/>
      <color rgb="FFB9CDC7"/>
      <color rgb="FF9BBB59"/>
      <color rgb="FFB9CDE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4"/>
  <sheetViews>
    <sheetView topLeftCell="A4" zoomScale="85" zoomScaleNormal="85" workbookViewId="0">
      <selection activeCell="J9" sqref="J9"/>
    </sheetView>
  </sheetViews>
  <sheetFormatPr defaultRowHeight="19.5"/>
  <cols>
    <col min="1" max="1" width="6.28515625" style="477" customWidth="1"/>
    <col min="2" max="2" width="13" style="477" customWidth="1"/>
    <col min="3" max="3" width="6.7109375" style="477" customWidth="1"/>
    <col min="4" max="4" width="18.85546875" style="477" customWidth="1"/>
    <col min="5" max="5" width="8.42578125" style="482" customWidth="1"/>
    <col min="6" max="6" width="7.5703125" style="482" customWidth="1"/>
    <col min="7" max="7" width="11.85546875" style="483" customWidth="1"/>
    <col min="8" max="8" width="8.7109375" style="483" customWidth="1"/>
    <col min="9" max="9" width="9.42578125" style="483" customWidth="1"/>
    <col min="10" max="10" width="10.28515625" style="482" customWidth="1"/>
    <col min="11" max="11" width="10.42578125" style="477" customWidth="1"/>
    <col min="12" max="12" width="12.28515625" style="477" customWidth="1"/>
    <col min="13" max="13" width="8.7109375" style="476" customWidth="1"/>
    <col min="14" max="14" width="11.28515625" style="476" customWidth="1"/>
    <col min="15" max="16384" width="9.140625" style="477"/>
  </cols>
  <sheetData>
    <row r="1" spans="1:22" ht="38.25" customHeight="1">
      <c r="A1" s="630" t="s">
        <v>899</v>
      </c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M1" s="630"/>
      <c r="N1" s="630"/>
    </row>
    <row r="2" spans="1:22" s="478" customFormat="1" ht="42.75" customHeight="1">
      <c r="A2" s="612" t="s">
        <v>864</v>
      </c>
      <c r="B2" s="612" t="s">
        <v>865</v>
      </c>
      <c r="C2" s="629" t="s">
        <v>883</v>
      </c>
      <c r="D2" s="629"/>
      <c r="E2" s="629"/>
      <c r="F2" s="629"/>
      <c r="G2" s="629" t="s">
        <v>885</v>
      </c>
      <c r="H2" s="629"/>
      <c r="I2" s="629"/>
      <c r="J2" s="612" t="s">
        <v>901</v>
      </c>
      <c r="K2" s="612"/>
      <c r="L2" s="612"/>
      <c r="M2" s="631" t="s">
        <v>870</v>
      </c>
      <c r="N2" s="631"/>
    </row>
    <row r="3" spans="1:22" s="478" customFormat="1" ht="40.5" customHeight="1">
      <c r="A3" s="612"/>
      <c r="B3" s="612"/>
      <c r="C3" s="612" t="s">
        <v>922</v>
      </c>
      <c r="D3" s="612"/>
      <c r="E3" s="629" t="s">
        <v>887</v>
      </c>
      <c r="F3" s="629" t="s">
        <v>884</v>
      </c>
      <c r="G3" s="629" t="s">
        <v>888</v>
      </c>
      <c r="H3" s="629" t="s">
        <v>889</v>
      </c>
      <c r="I3" s="629"/>
      <c r="J3" s="629" t="s">
        <v>866</v>
      </c>
      <c r="K3" s="629" t="s">
        <v>867</v>
      </c>
      <c r="L3" s="612" t="s">
        <v>868</v>
      </c>
      <c r="M3" s="631"/>
      <c r="N3" s="631"/>
      <c r="O3" s="632" t="s">
        <v>755</v>
      </c>
      <c r="Q3" s="622" t="s">
        <v>883</v>
      </c>
      <c r="R3" s="623"/>
      <c r="S3" s="624"/>
    </row>
    <row r="4" spans="1:22" s="478" customFormat="1" ht="79.5" customHeight="1">
      <c r="A4" s="612"/>
      <c r="B4" s="612"/>
      <c r="C4" s="612"/>
      <c r="D4" s="612"/>
      <c r="E4" s="629"/>
      <c r="F4" s="629"/>
      <c r="G4" s="629"/>
      <c r="H4" s="561" t="s">
        <v>869</v>
      </c>
      <c r="I4" s="561" t="s">
        <v>890</v>
      </c>
      <c r="J4" s="629"/>
      <c r="K4" s="629"/>
      <c r="L4" s="612"/>
      <c r="M4" s="484" t="s">
        <v>872</v>
      </c>
      <c r="N4" s="485" t="s">
        <v>900</v>
      </c>
      <c r="O4" s="633"/>
      <c r="Q4" s="622"/>
      <c r="R4" s="623"/>
      <c r="S4" s="624"/>
      <c r="T4" s="622"/>
      <c r="U4" s="623"/>
      <c r="V4" s="624"/>
    </row>
    <row r="5" spans="1:22" ht="24.95" customHeight="1">
      <c r="A5" s="492">
        <v>1</v>
      </c>
      <c r="B5" s="493" t="s">
        <v>871</v>
      </c>
      <c r="C5" s="470">
        <v>1</v>
      </c>
      <c r="D5" s="473" t="s">
        <v>871</v>
      </c>
      <c r="E5" s="480">
        <v>22</v>
      </c>
      <c r="F5" s="480">
        <v>1516</v>
      </c>
      <c r="G5" s="490">
        <v>17.5</v>
      </c>
      <c r="H5" s="480">
        <v>1750</v>
      </c>
      <c r="I5" s="480">
        <v>21</v>
      </c>
      <c r="J5" s="490">
        <v>465</v>
      </c>
      <c r="K5" s="490">
        <v>73.5</v>
      </c>
      <c r="L5" s="490">
        <v>538.5</v>
      </c>
      <c r="M5" s="490">
        <f>PYAY!M33</f>
        <v>14.49</v>
      </c>
      <c r="N5" s="490">
        <f>PYAY!N33</f>
        <v>494.39879999999988</v>
      </c>
      <c r="O5" s="634"/>
      <c r="Q5" s="625"/>
      <c r="R5" s="627"/>
      <c r="S5" s="627"/>
      <c r="T5" s="627"/>
      <c r="U5" s="622"/>
      <c r="V5" s="624"/>
    </row>
    <row r="6" spans="1:22" ht="24.95" customHeight="1">
      <c r="A6" s="496"/>
      <c r="B6" s="498"/>
      <c r="C6" s="472">
        <v>2</v>
      </c>
      <c r="D6" s="474" t="s">
        <v>891</v>
      </c>
      <c r="E6" s="480">
        <v>27</v>
      </c>
      <c r="F6" s="480">
        <v>1750</v>
      </c>
      <c r="G6" s="490">
        <v>18.8</v>
      </c>
      <c r="H6" s="480">
        <v>1800</v>
      </c>
      <c r="I6" s="480">
        <v>25</v>
      </c>
      <c r="J6" s="490">
        <v>518</v>
      </c>
      <c r="K6" s="490">
        <v>81.400000000000006</v>
      </c>
      <c r="L6" s="490">
        <v>599.4</v>
      </c>
      <c r="M6" s="490">
        <f>PYAY!M85</f>
        <v>16.340000000000003</v>
      </c>
      <c r="N6" s="490">
        <f>PYAY!N85</f>
        <v>557.52079999999989</v>
      </c>
      <c r="Q6" s="626"/>
      <c r="R6" s="628"/>
      <c r="S6" s="628"/>
      <c r="T6" s="628"/>
      <c r="U6" s="469"/>
      <c r="V6" s="469"/>
    </row>
    <row r="7" spans="1:22" ht="24.95" customHeight="1">
      <c r="A7" s="494"/>
      <c r="B7" s="473"/>
      <c r="C7" s="472">
        <v>3</v>
      </c>
      <c r="D7" s="474" t="s">
        <v>892</v>
      </c>
      <c r="E7" s="480">
        <v>10</v>
      </c>
      <c r="F7" s="480">
        <v>610</v>
      </c>
      <c r="G7" s="490">
        <v>7.1</v>
      </c>
      <c r="H7" s="480">
        <v>700</v>
      </c>
      <c r="I7" s="480">
        <v>8</v>
      </c>
      <c r="J7" s="490">
        <v>184.5</v>
      </c>
      <c r="K7" s="490">
        <v>29.3</v>
      </c>
      <c r="L7" s="490">
        <v>213.8</v>
      </c>
      <c r="M7" s="490">
        <f>PYAY!M105</f>
        <v>5.6999999999999993</v>
      </c>
      <c r="N7" s="490">
        <f>PYAY!N105</f>
        <v>194.48399999999995</v>
      </c>
      <c r="O7" s="477">
        <v>185</v>
      </c>
    </row>
    <row r="8" spans="1:22" ht="24.95" customHeight="1">
      <c r="A8" s="479">
        <v>2</v>
      </c>
      <c r="B8" s="474" t="s">
        <v>893</v>
      </c>
      <c r="C8" s="472">
        <v>4</v>
      </c>
      <c r="D8" s="474" t="s">
        <v>893</v>
      </c>
      <c r="E8" s="480">
        <v>32</v>
      </c>
      <c r="F8" s="480">
        <v>3710</v>
      </c>
      <c r="G8" s="490">
        <v>46.6</v>
      </c>
      <c r="H8" s="480">
        <v>3700</v>
      </c>
      <c r="I8" s="480">
        <v>32</v>
      </c>
      <c r="J8" s="490">
        <v>1027</v>
      </c>
      <c r="K8" s="490">
        <v>171.8</v>
      </c>
      <c r="L8" s="490">
        <v>1198.8</v>
      </c>
      <c r="M8" s="490">
        <f>PYAY!M151</f>
        <v>25.000000000000011</v>
      </c>
      <c r="N8" s="490">
        <f>PYAY!N151</f>
        <v>852.99999999999989</v>
      </c>
      <c r="O8" s="477">
        <v>205</v>
      </c>
    </row>
    <row r="9" spans="1:22" ht="24.95" customHeight="1">
      <c r="A9" s="492">
        <v>3</v>
      </c>
      <c r="B9" s="493" t="s">
        <v>873</v>
      </c>
      <c r="C9" s="472">
        <v>5</v>
      </c>
      <c r="D9" s="474" t="s">
        <v>873</v>
      </c>
      <c r="E9" s="480">
        <v>11</v>
      </c>
      <c r="F9" s="480">
        <v>868</v>
      </c>
      <c r="G9" s="490">
        <v>8.9499999999999993</v>
      </c>
      <c r="H9" s="480">
        <v>650</v>
      </c>
      <c r="I9" s="480">
        <v>11</v>
      </c>
      <c r="J9" s="490">
        <v>235.25</v>
      </c>
      <c r="K9" s="490">
        <v>37.85</v>
      </c>
      <c r="L9" s="490">
        <v>273.10000000000002</v>
      </c>
      <c r="M9" s="490">
        <f>PYAY!M167</f>
        <v>6.65</v>
      </c>
      <c r="N9" s="490">
        <f>PYAY!N167</f>
        <v>226.89799999999994</v>
      </c>
      <c r="O9" s="477">
        <v>199</v>
      </c>
    </row>
    <row r="10" spans="1:22" ht="24.95" customHeight="1">
      <c r="A10" s="494"/>
      <c r="B10" s="473"/>
      <c r="C10" s="472">
        <v>6</v>
      </c>
      <c r="D10" s="474" t="s">
        <v>874</v>
      </c>
      <c r="E10" s="480">
        <v>21</v>
      </c>
      <c r="F10" s="480">
        <v>1931</v>
      </c>
      <c r="G10" s="490">
        <v>22.02</v>
      </c>
      <c r="H10" s="480">
        <v>1700</v>
      </c>
      <c r="I10" s="480">
        <v>21</v>
      </c>
      <c r="J10" s="490">
        <v>531.79999999999995</v>
      </c>
      <c r="K10" s="490">
        <v>87.06</v>
      </c>
      <c r="L10" s="490">
        <v>618.86</v>
      </c>
      <c r="M10" s="490">
        <f>PYAY!M202</f>
        <v>220.95999999999995</v>
      </c>
      <c r="N10" s="490">
        <f>PYAY!N202</f>
        <v>7539.1551999999992</v>
      </c>
    </row>
    <row r="11" spans="1:22" ht="24.95" customHeight="1">
      <c r="A11" s="492">
        <v>4</v>
      </c>
      <c r="B11" s="493" t="s">
        <v>875</v>
      </c>
      <c r="C11" s="472">
        <v>7</v>
      </c>
      <c r="D11" s="474" t="s">
        <v>875</v>
      </c>
      <c r="E11" s="480">
        <v>20</v>
      </c>
      <c r="F11" s="480">
        <v>1142</v>
      </c>
      <c r="G11" s="490">
        <v>26.28</v>
      </c>
      <c r="H11" s="480">
        <v>1300</v>
      </c>
      <c r="I11" s="480">
        <v>20</v>
      </c>
      <c r="J11" s="490">
        <v>580.20000000000005</v>
      </c>
      <c r="K11" s="490">
        <v>98.8</v>
      </c>
      <c r="L11" s="490">
        <v>679</v>
      </c>
      <c r="M11" s="490">
        <f>MIL!M25</f>
        <v>12.540000000000003</v>
      </c>
      <c r="N11" s="490">
        <f>MIL!N25</f>
        <v>427.86479999999989</v>
      </c>
    </row>
    <row r="12" spans="1:22" ht="24.95" customHeight="1">
      <c r="A12" s="494"/>
      <c r="B12" s="473"/>
      <c r="C12" s="472">
        <v>8</v>
      </c>
      <c r="D12" s="474" t="s">
        <v>894</v>
      </c>
      <c r="E12" s="480">
        <v>10</v>
      </c>
      <c r="F12" s="480">
        <v>1746</v>
      </c>
      <c r="G12" s="490">
        <v>7.6</v>
      </c>
      <c r="H12" s="480">
        <v>1010</v>
      </c>
      <c r="I12" s="480">
        <v>7</v>
      </c>
      <c r="J12" s="490">
        <v>188.5</v>
      </c>
      <c r="K12" s="490">
        <v>29.8</v>
      </c>
      <c r="L12" s="490">
        <v>218.3</v>
      </c>
      <c r="M12" s="490">
        <f>MIL!M61</f>
        <v>5.89</v>
      </c>
      <c r="N12" s="490">
        <f>MIL!N61</f>
        <v>200.96679999999998</v>
      </c>
    </row>
    <row r="13" spans="1:22" ht="24.95" customHeight="1">
      <c r="A13" s="492">
        <v>5</v>
      </c>
      <c r="B13" s="493" t="s">
        <v>895</v>
      </c>
      <c r="C13" s="472">
        <v>9</v>
      </c>
      <c r="D13" s="474" t="s">
        <v>895</v>
      </c>
      <c r="E13" s="480">
        <v>36</v>
      </c>
      <c r="F13" s="480">
        <v>2279</v>
      </c>
      <c r="G13" s="490">
        <v>20.6</v>
      </c>
      <c r="H13" s="480">
        <v>2150</v>
      </c>
      <c r="I13" s="480">
        <v>36</v>
      </c>
      <c r="J13" s="490">
        <v>649.9</v>
      </c>
      <c r="K13" s="490">
        <v>97.7</v>
      </c>
      <c r="L13" s="490">
        <v>737.6</v>
      </c>
      <c r="M13" s="490">
        <f>MIL!M112</f>
        <v>21.850000000000005</v>
      </c>
      <c r="N13" s="490">
        <f>MIL!N112</f>
        <v>745.52199999999982</v>
      </c>
      <c r="O13" s="481"/>
    </row>
    <row r="14" spans="1:22" ht="24.95" customHeight="1">
      <c r="A14" s="499"/>
      <c r="B14" s="498"/>
      <c r="C14" s="472">
        <v>10</v>
      </c>
      <c r="D14" s="474" t="s">
        <v>896</v>
      </c>
      <c r="E14" s="480">
        <v>28</v>
      </c>
      <c r="F14" s="480">
        <v>2072</v>
      </c>
      <c r="G14" s="490">
        <v>38.299999999999997</v>
      </c>
      <c r="H14" s="480">
        <v>1500</v>
      </c>
      <c r="I14" s="480">
        <v>28</v>
      </c>
      <c r="J14" s="490">
        <v>828.5</v>
      </c>
      <c r="K14" s="490">
        <v>142.9</v>
      </c>
      <c r="L14" s="490">
        <v>971.4</v>
      </c>
      <c r="M14" s="490">
        <f>MIL!M153</f>
        <v>16.340000000000003</v>
      </c>
      <c r="N14" s="490">
        <f>MIL!N153</f>
        <v>557.52079999999989</v>
      </c>
    </row>
    <row r="15" spans="1:22" ht="24.95" customHeight="1">
      <c r="A15" s="499"/>
      <c r="B15" s="498"/>
      <c r="C15" s="472">
        <v>11</v>
      </c>
      <c r="D15" s="474" t="s">
        <v>897</v>
      </c>
      <c r="E15" s="480">
        <v>36</v>
      </c>
      <c r="F15" s="480">
        <v>1873</v>
      </c>
      <c r="G15" s="490">
        <v>11.8</v>
      </c>
      <c r="H15" s="480">
        <v>1300</v>
      </c>
      <c r="I15" s="480">
        <v>14</v>
      </c>
      <c r="J15" s="490">
        <v>315</v>
      </c>
      <c r="K15" s="490">
        <v>49</v>
      </c>
      <c r="L15" s="490">
        <v>364</v>
      </c>
      <c r="M15" s="490">
        <f>MIL!M208</f>
        <v>9.5</v>
      </c>
      <c r="N15" s="490">
        <f>MIL!N208</f>
        <v>324.13999999999993</v>
      </c>
    </row>
    <row r="16" spans="1:22" ht="24.95" customHeight="1">
      <c r="A16" s="470"/>
      <c r="B16" s="473"/>
      <c r="C16" s="472">
        <v>12</v>
      </c>
      <c r="D16" s="474" t="s">
        <v>876</v>
      </c>
      <c r="E16" s="480">
        <v>33</v>
      </c>
      <c r="F16" s="480">
        <v>2504</v>
      </c>
      <c r="G16" s="490">
        <v>56.02</v>
      </c>
      <c r="H16" s="480">
        <v>3400</v>
      </c>
      <c r="I16" s="480">
        <v>32</v>
      </c>
      <c r="J16" s="490">
        <v>1160.3</v>
      </c>
      <c r="K16" s="490">
        <v>200.1</v>
      </c>
      <c r="L16" s="490">
        <v>1360.4</v>
      </c>
      <c r="M16" s="490">
        <f>MIL!M255</f>
        <v>25.100000000000009</v>
      </c>
      <c r="N16" s="490">
        <f>MIL!N255</f>
        <v>856.41199999999992</v>
      </c>
    </row>
    <row r="17" spans="1:22" ht="24.95" customHeight="1">
      <c r="A17" s="472">
        <v>6</v>
      </c>
      <c r="B17" s="474" t="s">
        <v>898</v>
      </c>
      <c r="C17" s="472">
        <v>13</v>
      </c>
      <c r="D17" s="474" t="s">
        <v>898</v>
      </c>
      <c r="E17" s="480">
        <v>67</v>
      </c>
      <c r="F17" s="480">
        <v>3844</v>
      </c>
      <c r="G17" s="490">
        <v>60.22</v>
      </c>
      <c r="H17" s="480">
        <v>4890</v>
      </c>
      <c r="I17" s="480">
        <v>67</v>
      </c>
      <c r="J17" s="490">
        <v>1536.3</v>
      </c>
      <c r="K17" s="490">
        <v>247.66</v>
      </c>
      <c r="L17" s="490">
        <v>1783.96</v>
      </c>
      <c r="M17" s="490">
        <f>MIL!M357</f>
        <v>43.290000000000013</v>
      </c>
      <c r="N17" s="490">
        <f>MIL!N357</f>
        <v>1477.0547999999997</v>
      </c>
    </row>
    <row r="18" spans="1:22" ht="24.95" customHeight="1">
      <c r="A18" s="617" t="s">
        <v>877</v>
      </c>
      <c r="B18" s="618"/>
      <c r="C18" s="618"/>
      <c r="D18" s="619"/>
      <c r="E18" s="480">
        <f t="shared" ref="E18:L18" si="0">SUM(E5:E17)</f>
        <v>353</v>
      </c>
      <c r="F18" s="480">
        <f t="shared" si="0"/>
        <v>25845</v>
      </c>
      <c r="G18" s="490">
        <f t="shared" si="0"/>
        <v>341.78999999999996</v>
      </c>
      <c r="H18" s="480">
        <f t="shared" si="0"/>
        <v>25850</v>
      </c>
      <c r="I18" s="480">
        <f t="shared" si="0"/>
        <v>322</v>
      </c>
      <c r="J18" s="490">
        <f t="shared" si="0"/>
        <v>8220.25</v>
      </c>
      <c r="K18" s="490">
        <f t="shared" si="0"/>
        <v>1346.8700000000001</v>
      </c>
      <c r="L18" s="490">
        <f t="shared" si="0"/>
        <v>9557.119999999999</v>
      </c>
      <c r="M18" s="490">
        <f t="shared" ref="M18:N18" si="1">SUM(M5:M17)</f>
        <v>423.65000000000003</v>
      </c>
      <c r="N18" s="490">
        <f t="shared" si="1"/>
        <v>14454.937999999998</v>
      </c>
    </row>
    <row r="19" spans="1:22" ht="27.75" customHeight="1">
      <c r="A19" s="486"/>
      <c r="B19" s="486"/>
      <c r="C19" s="486"/>
      <c r="D19" s="486"/>
      <c r="E19" s="487"/>
      <c r="F19" s="487"/>
      <c r="G19" s="487"/>
      <c r="H19" s="487"/>
      <c r="I19" s="487"/>
      <c r="J19" s="487"/>
      <c r="K19" s="487"/>
      <c r="L19" s="487"/>
      <c r="M19" s="487"/>
      <c r="N19" s="487"/>
    </row>
    <row r="20" spans="1:22" ht="24.75" customHeight="1">
      <c r="A20" s="630" t="s">
        <v>899</v>
      </c>
      <c r="B20" s="630"/>
      <c r="C20" s="630"/>
      <c r="D20" s="630"/>
      <c r="E20" s="630"/>
      <c r="F20" s="630"/>
      <c r="G20" s="630"/>
      <c r="H20" s="630"/>
      <c r="I20" s="630"/>
      <c r="J20" s="630"/>
      <c r="K20" s="630"/>
      <c r="L20" s="630"/>
      <c r="M20" s="630"/>
      <c r="N20" s="630"/>
    </row>
    <row r="21" spans="1:22" s="478" customFormat="1" ht="42.75" customHeight="1">
      <c r="A21" s="620" t="s">
        <v>864</v>
      </c>
      <c r="B21" s="620" t="s">
        <v>865</v>
      </c>
      <c r="C21" s="621" t="s">
        <v>883</v>
      </c>
      <c r="D21" s="621"/>
      <c r="E21" s="621"/>
      <c r="F21" s="621"/>
      <c r="G21" s="621" t="s">
        <v>885</v>
      </c>
      <c r="H21" s="621"/>
      <c r="I21" s="621"/>
      <c r="J21" s="620" t="s">
        <v>901</v>
      </c>
      <c r="K21" s="620"/>
      <c r="L21" s="620"/>
      <c r="M21" s="631" t="s">
        <v>870</v>
      </c>
      <c r="N21" s="631"/>
    </row>
    <row r="22" spans="1:22" s="478" customFormat="1" ht="35.25" customHeight="1">
      <c r="A22" s="620"/>
      <c r="B22" s="620"/>
      <c r="C22" s="620" t="s">
        <v>886</v>
      </c>
      <c r="D22" s="620"/>
      <c r="E22" s="621" t="s">
        <v>887</v>
      </c>
      <c r="F22" s="621" t="s">
        <v>884</v>
      </c>
      <c r="G22" s="621" t="s">
        <v>888</v>
      </c>
      <c r="H22" s="621" t="s">
        <v>889</v>
      </c>
      <c r="I22" s="621"/>
      <c r="J22" s="621" t="s">
        <v>866</v>
      </c>
      <c r="K22" s="621" t="s">
        <v>867</v>
      </c>
      <c r="L22" s="620" t="s">
        <v>868</v>
      </c>
      <c r="M22" s="631"/>
      <c r="N22" s="631"/>
      <c r="Q22" s="622" t="s">
        <v>883</v>
      </c>
      <c r="R22" s="623"/>
      <c r="S22" s="624"/>
    </row>
    <row r="23" spans="1:22" s="478" customFormat="1" ht="75" customHeight="1">
      <c r="A23" s="620"/>
      <c r="B23" s="620"/>
      <c r="C23" s="620"/>
      <c r="D23" s="620"/>
      <c r="E23" s="621"/>
      <c r="F23" s="621"/>
      <c r="G23" s="621"/>
      <c r="H23" s="560" t="s">
        <v>869</v>
      </c>
      <c r="I23" s="560" t="s">
        <v>890</v>
      </c>
      <c r="J23" s="621"/>
      <c r="K23" s="621"/>
      <c r="L23" s="620"/>
      <c r="M23" s="484" t="s">
        <v>872</v>
      </c>
      <c r="N23" s="485" t="s">
        <v>900</v>
      </c>
      <c r="O23" s="478">
        <v>22</v>
      </c>
      <c r="Q23" s="622"/>
      <c r="R23" s="623"/>
      <c r="S23" s="624"/>
      <c r="T23" s="622"/>
      <c r="U23" s="623"/>
      <c r="V23" s="624"/>
    </row>
    <row r="24" spans="1:22" ht="24" customHeight="1">
      <c r="A24" s="492">
        <v>1</v>
      </c>
      <c r="B24" s="493" t="s">
        <v>878</v>
      </c>
      <c r="C24" s="479">
        <v>1</v>
      </c>
      <c r="D24" s="474" t="s">
        <v>878</v>
      </c>
      <c r="E24" s="480">
        <v>33</v>
      </c>
      <c r="F24" s="480">
        <v>2938</v>
      </c>
      <c r="G24" s="490">
        <v>26.1</v>
      </c>
      <c r="H24" s="480">
        <v>2720</v>
      </c>
      <c r="I24" s="480">
        <v>37</v>
      </c>
      <c r="J24" s="490">
        <v>824.5</v>
      </c>
      <c r="K24" s="490">
        <v>127.9</v>
      </c>
      <c r="L24" s="480">
        <v>952.4</v>
      </c>
      <c r="M24" s="480">
        <f>TDY!M41</f>
        <v>24.650000000000006</v>
      </c>
      <c r="N24" s="490">
        <f>TDY!N41</f>
        <v>841.05799999999977</v>
      </c>
    </row>
    <row r="25" spans="1:22" ht="24" customHeight="1">
      <c r="A25" s="494"/>
      <c r="B25" s="495"/>
      <c r="C25" s="479">
        <v>2</v>
      </c>
      <c r="D25" s="474" t="s">
        <v>902</v>
      </c>
      <c r="E25" s="480">
        <v>15</v>
      </c>
      <c r="F25" s="480">
        <v>1864</v>
      </c>
      <c r="G25" s="490">
        <v>15.8</v>
      </c>
      <c r="H25" s="480">
        <v>1370</v>
      </c>
      <c r="I25" s="480">
        <v>15</v>
      </c>
      <c r="J25" s="490">
        <v>384</v>
      </c>
      <c r="K25" s="490">
        <v>62.4</v>
      </c>
      <c r="L25" s="480">
        <v>446.4</v>
      </c>
      <c r="M25" s="480">
        <f>TDY!M62</f>
        <v>10.53</v>
      </c>
      <c r="N25" s="490">
        <f>TDY!N62</f>
        <v>359.28359999999992</v>
      </c>
    </row>
    <row r="26" spans="1:22" ht="24" customHeight="1">
      <c r="A26" s="492">
        <v>2</v>
      </c>
      <c r="B26" s="493" t="s">
        <v>903</v>
      </c>
      <c r="C26" s="479">
        <v>3</v>
      </c>
      <c r="D26" s="474" t="s">
        <v>903</v>
      </c>
      <c r="E26" s="480">
        <v>37</v>
      </c>
      <c r="F26" s="480">
        <v>3723</v>
      </c>
      <c r="G26" s="490">
        <v>28.83</v>
      </c>
      <c r="H26" s="480">
        <v>2930</v>
      </c>
      <c r="I26" s="480">
        <v>37</v>
      </c>
      <c r="J26" s="490">
        <v>786.45</v>
      </c>
      <c r="K26" s="490">
        <v>123.49</v>
      </c>
      <c r="L26" s="480">
        <v>909.94</v>
      </c>
      <c r="M26" s="480">
        <f>LPD!M53</f>
        <v>25.630000000000017</v>
      </c>
      <c r="N26" s="490">
        <f>LPD!N53</f>
        <v>874.49559999999974</v>
      </c>
    </row>
    <row r="27" spans="1:22" ht="24" customHeight="1">
      <c r="A27" s="494"/>
      <c r="B27" s="495"/>
      <c r="C27" s="479">
        <v>4</v>
      </c>
      <c r="D27" s="474" t="s">
        <v>904</v>
      </c>
      <c r="E27" s="480">
        <v>13</v>
      </c>
      <c r="F27" s="480">
        <v>2375</v>
      </c>
      <c r="G27" s="490">
        <v>14.01</v>
      </c>
      <c r="H27" s="480">
        <v>1650</v>
      </c>
      <c r="I27" s="480">
        <v>11</v>
      </c>
      <c r="J27" s="490">
        <v>311.45</v>
      </c>
      <c r="K27" s="490">
        <v>45.59</v>
      </c>
      <c r="L27" s="480">
        <v>357.04</v>
      </c>
      <c r="M27" s="480">
        <f>LPD!M53</f>
        <v>25.630000000000017</v>
      </c>
      <c r="N27" s="490">
        <f>LPD!N53</f>
        <v>874.49559999999974</v>
      </c>
    </row>
    <row r="28" spans="1:22" ht="24" customHeight="1">
      <c r="A28" s="492">
        <v>3</v>
      </c>
      <c r="B28" s="493" t="s">
        <v>879</v>
      </c>
      <c r="C28" s="479">
        <v>5</v>
      </c>
      <c r="D28" s="474" t="s">
        <v>879</v>
      </c>
      <c r="E28" s="480">
        <v>78</v>
      </c>
      <c r="F28" s="480">
        <v>8150</v>
      </c>
      <c r="G28" s="490">
        <v>80.3</v>
      </c>
      <c r="H28" s="480">
        <v>4100</v>
      </c>
      <c r="I28" s="480">
        <v>154</v>
      </c>
      <c r="J28" s="490">
        <v>2595.5</v>
      </c>
      <c r="K28" s="490">
        <v>394.3</v>
      </c>
      <c r="L28" s="480">
        <v>2989.8</v>
      </c>
      <c r="M28" s="480">
        <f>TDY!M62</f>
        <v>10.53</v>
      </c>
      <c r="N28" s="490">
        <f>TDY!N62</f>
        <v>359.28359999999992</v>
      </c>
    </row>
    <row r="29" spans="1:22" ht="24" customHeight="1">
      <c r="A29" s="494"/>
      <c r="B29" s="495"/>
      <c r="C29" s="479">
        <v>6</v>
      </c>
      <c r="D29" s="474" t="s">
        <v>905</v>
      </c>
      <c r="E29" s="480">
        <v>52</v>
      </c>
      <c r="F29" s="480">
        <v>4216</v>
      </c>
      <c r="G29" s="490">
        <v>31.16</v>
      </c>
      <c r="H29" s="480">
        <v>4500</v>
      </c>
      <c r="I29" s="480">
        <v>53</v>
      </c>
      <c r="J29" s="490">
        <v>980.4</v>
      </c>
      <c r="K29" s="490">
        <v>146.47999999999999</v>
      </c>
      <c r="L29" s="480">
        <v>1126.8800000000001</v>
      </c>
      <c r="M29" s="480">
        <f>MIL!M494</f>
        <v>45.22000000000002</v>
      </c>
      <c r="N29" s="490">
        <f>MIL!N494</f>
        <v>1542.9063999999996</v>
      </c>
    </row>
    <row r="30" spans="1:22" ht="24" customHeight="1">
      <c r="A30" s="492">
        <v>4</v>
      </c>
      <c r="B30" s="493" t="s">
        <v>906</v>
      </c>
      <c r="C30" s="479">
        <v>7</v>
      </c>
      <c r="D30" s="474" t="s">
        <v>906</v>
      </c>
      <c r="E30" s="480">
        <v>9</v>
      </c>
      <c r="F30" s="480">
        <v>1833</v>
      </c>
      <c r="G30" s="490">
        <v>9.8000000000000007</v>
      </c>
      <c r="H30" s="480">
        <v>1300</v>
      </c>
      <c r="I30" s="480">
        <v>12</v>
      </c>
      <c r="J30" s="490">
        <v>264.5</v>
      </c>
      <c r="K30" s="490">
        <v>41.4</v>
      </c>
      <c r="L30" s="480">
        <v>305.89999999999998</v>
      </c>
      <c r="M30" s="480">
        <f>MNO!M15</f>
        <v>7.84</v>
      </c>
      <c r="N30" s="490">
        <f>MNO!N15</f>
        <v>267.50079999999997</v>
      </c>
    </row>
    <row r="31" spans="1:22" ht="24" customHeight="1">
      <c r="A31" s="494"/>
      <c r="B31" s="495"/>
      <c r="C31" s="479">
        <v>8</v>
      </c>
      <c r="D31" s="474" t="s">
        <v>907</v>
      </c>
      <c r="E31" s="480">
        <v>11</v>
      </c>
      <c r="F31" s="480">
        <v>1180</v>
      </c>
      <c r="G31" s="490">
        <v>7.54</v>
      </c>
      <c r="H31" s="480">
        <v>1050</v>
      </c>
      <c r="I31" s="480">
        <v>11</v>
      </c>
      <c r="J31" s="490">
        <v>222.6</v>
      </c>
      <c r="K31" s="490">
        <v>33.619999999999997</v>
      </c>
      <c r="L31" s="480">
        <v>256.22000000000003</v>
      </c>
      <c r="M31" s="480">
        <f>MNO!M42</f>
        <v>8.2199999999999989</v>
      </c>
      <c r="N31" s="490">
        <f>MNO!N42</f>
        <v>280.46639999999996</v>
      </c>
    </row>
    <row r="32" spans="1:22" ht="24" customHeight="1">
      <c r="A32" s="492">
        <v>5</v>
      </c>
      <c r="B32" s="493" t="s">
        <v>908</v>
      </c>
      <c r="C32" s="479">
        <v>9</v>
      </c>
      <c r="D32" s="474" t="s">
        <v>908</v>
      </c>
      <c r="E32" s="480">
        <v>42</v>
      </c>
      <c r="F32" s="480">
        <v>3295</v>
      </c>
      <c r="G32" s="490">
        <v>25.15</v>
      </c>
      <c r="H32" s="480">
        <v>2860</v>
      </c>
      <c r="I32" s="480">
        <v>42</v>
      </c>
      <c r="J32" s="490">
        <v>770.25</v>
      </c>
      <c r="K32" s="490">
        <v>117.51</v>
      </c>
      <c r="L32" s="480">
        <v>887.76</v>
      </c>
      <c r="M32" s="480">
        <f>OKP!M56</f>
        <v>26.640000000000008</v>
      </c>
      <c r="N32" s="490">
        <f>OKP!N56</f>
        <v>908.95679999999982</v>
      </c>
    </row>
    <row r="33" spans="1:14" ht="24" customHeight="1">
      <c r="A33" s="496"/>
      <c r="B33" s="497"/>
      <c r="C33" s="479">
        <v>10</v>
      </c>
      <c r="D33" s="474" t="s">
        <v>909</v>
      </c>
      <c r="E33" s="480">
        <v>9</v>
      </c>
      <c r="F33" s="480">
        <v>879</v>
      </c>
      <c r="G33" s="490">
        <v>9.75</v>
      </c>
      <c r="H33" s="480">
        <v>800</v>
      </c>
      <c r="I33" s="480">
        <v>9</v>
      </c>
      <c r="J33" s="490">
        <v>233.95</v>
      </c>
      <c r="K33" s="490">
        <v>42.12</v>
      </c>
      <c r="L33" s="480">
        <v>276.07</v>
      </c>
      <c r="M33" s="480">
        <f>OKP!M89</f>
        <v>6.4599999999999991</v>
      </c>
      <c r="N33" s="490">
        <f>OKP!N89</f>
        <v>220.41519999999994</v>
      </c>
    </row>
    <row r="34" spans="1:14" ht="24" customHeight="1">
      <c r="A34" s="494"/>
      <c r="B34" s="495"/>
      <c r="C34" s="479">
        <v>11</v>
      </c>
      <c r="D34" s="474" t="s">
        <v>910</v>
      </c>
      <c r="E34" s="480">
        <v>5</v>
      </c>
      <c r="F34" s="480">
        <v>641</v>
      </c>
      <c r="G34" s="490">
        <v>4.5999999999999996</v>
      </c>
      <c r="H34" s="480">
        <v>700</v>
      </c>
      <c r="I34" s="480">
        <v>7</v>
      </c>
      <c r="J34" s="490">
        <v>139</v>
      </c>
      <c r="K34" s="490">
        <v>20.8</v>
      </c>
      <c r="L34" s="480">
        <v>159.80000000000001</v>
      </c>
      <c r="M34" s="480">
        <f>OKP!M110</f>
        <v>3.04</v>
      </c>
      <c r="N34" s="490">
        <f>OKP!N110</f>
        <v>103.72479999999999</v>
      </c>
    </row>
    <row r="35" spans="1:14" ht="24" customHeight="1">
      <c r="A35" s="479">
        <v>6</v>
      </c>
      <c r="B35" s="474" t="s">
        <v>911</v>
      </c>
      <c r="C35" s="479">
        <v>12</v>
      </c>
      <c r="D35" s="474" t="s">
        <v>911</v>
      </c>
      <c r="E35" s="480">
        <v>78</v>
      </c>
      <c r="F35" s="480">
        <v>7436</v>
      </c>
      <c r="G35" s="490">
        <v>55.47</v>
      </c>
      <c r="H35" s="480">
        <v>5620</v>
      </c>
      <c r="I35" s="480">
        <v>74</v>
      </c>
      <c r="J35" s="490">
        <v>1533.55</v>
      </c>
      <c r="K35" s="490">
        <v>240.41</v>
      </c>
      <c r="L35" s="480">
        <v>1773.96</v>
      </c>
      <c r="M35" s="480">
        <f>GBK!M105</f>
        <v>47.739999999999995</v>
      </c>
      <c r="N35" s="490">
        <f>GBK!N105</f>
        <v>1628.8887999999997</v>
      </c>
    </row>
    <row r="36" spans="1:14" ht="24" customHeight="1">
      <c r="A36" s="479">
        <v>7</v>
      </c>
      <c r="B36" s="474" t="s">
        <v>912</v>
      </c>
      <c r="C36" s="479">
        <v>13</v>
      </c>
      <c r="D36" s="474" t="s">
        <v>912</v>
      </c>
      <c r="E36" s="480">
        <v>65</v>
      </c>
      <c r="F36" s="480">
        <v>6964</v>
      </c>
      <c r="G36" s="490">
        <v>64.97</v>
      </c>
      <c r="H36" s="480">
        <v>7700</v>
      </c>
      <c r="I36" s="480">
        <v>65</v>
      </c>
      <c r="J36" s="490">
        <v>1634.2</v>
      </c>
      <c r="K36" s="490">
        <v>259.55</v>
      </c>
      <c r="L36" s="480">
        <v>1893.75</v>
      </c>
      <c r="M36" s="480">
        <f>ZGN!M85</f>
        <v>47.75</v>
      </c>
      <c r="N36" s="490">
        <f>ZGN!N85</f>
        <v>1629.2299999999991</v>
      </c>
    </row>
    <row r="37" spans="1:14" ht="24" customHeight="1">
      <c r="A37" s="492">
        <v>8</v>
      </c>
      <c r="B37" s="493" t="s">
        <v>913</v>
      </c>
      <c r="C37" s="479">
        <v>14</v>
      </c>
      <c r="D37" s="474" t="s">
        <v>913</v>
      </c>
      <c r="E37" s="480">
        <v>36</v>
      </c>
      <c r="F37" s="480">
        <v>2970</v>
      </c>
      <c r="G37" s="490">
        <v>26.78</v>
      </c>
      <c r="H37" s="480">
        <v>3320</v>
      </c>
      <c r="I37" s="480">
        <v>36</v>
      </c>
      <c r="J37" s="490">
        <v>753.7</v>
      </c>
      <c r="K37" s="490">
        <v>116.34</v>
      </c>
      <c r="L37" s="480">
        <v>870.04</v>
      </c>
      <c r="M37" s="480">
        <f>NAT!M47</f>
        <v>25.36000000000001</v>
      </c>
      <c r="N37" s="490">
        <f>NAT!N47</f>
        <v>865.28319999999985</v>
      </c>
    </row>
    <row r="38" spans="1:14" ht="24" customHeight="1">
      <c r="A38" s="494"/>
      <c r="B38" s="495"/>
      <c r="C38" s="479">
        <v>15</v>
      </c>
      <c r="D38" s="475" t="s">
        <v>880</v>
      </c>
      <c r="E38" s="480">
        <v>30</v>
      </c>
      <c r="F38" s="480">
        <v>2715</v>
      </c>
      <c r="G38" s="490">
        <v>17.350000000000001</v>
      </c>
      <c r="H38" s="480">
        <v>2570</v>
      </c>
      <c r="I38" s="480">
        <v>30</v>
      </c>
      <c r="J38" s="490">
        <v>544.75</v>
      </c>
      <c r="K38" s="490">
        <v>81.05</v>
      </c>
      <c r="L38" s="480">
        <v>625.79999999999995</v>
      </c>
      <c r="M38" s="480">
        <f>NAT!M89</f>
        <v>20.320000000000011</v>
      </c>
      <c r="N38" s="490">
        <f>NAT!N89</f>
        <v>693.31839999999977</v>
      </c>
    </row>
    <row r="39" spans="1:14" ht="24" customHeight="1">
      <c r="A39" s="613" t="s">
        <v>881</v>
      </c>
      <c r="B39" s="613"/>
      <c r="C39" s="613"/>
      <c r="D39" s="614"/>
      <c r="E39" s="480">
        <f t="shared" ref="E39:L39" si="2">SUM(E24:E38)</f>
        <v>513</v>
      </c>
      <c r="F39" s="480">
        <f t="shared" si="2"/>
        <v>51179</v>
      </c>
      <c r="G39" s="490">
        <f t="shared" si="2"/>
        <v>417.61</v>
      </c>
      <c r="H39" s="480">
        <f t="shared" si="2"/>
        <v>43190</v>
      </c>
      <c r="I39" s="480">
        <f t="shared" si="2"/>
        <v>593</v>
      </c>
      <c r="J39" s="490">
        <f t="shared" si="2"/>
        <v>11978.800000000001</v>
      </c>
      <c r="K39" s="490">
        <f t="shared" si="2"/>
        <v>1852.9599999999998</v>
      </c>
      <c r="L39" s="480">
        <f t="shared" si="2"/>
        <v>13831.759999999998</v>
      </c>
      <c r="M39" s="480">
        <f t="shared" ref="M39:N39" si="3">SUM(M24:M38)</f>
        <v>335.56000000000006</v>
      </c>
      <c r="N39" s="490">
        <f t="shared" si="3"/>
        <v>11449.307199999997</v>
      </c>
    </row>
    <row r="40" spans="1:14" ht="25.5" customHeight="1">
      <c r="A40" s="615" t="s">
        <v>882</v>
      </c>
      <c r="B40" s="615"/>
      <c r="C40" s="615"/>
      <c r="D40" s="616"/>
      <c r="E40" s="488">
        <f t="shared" ref="E40:N40" si="4">E39+E18</f>
        <v>866</v>
      </c>
      <c r="F40" s="488">
        <f t="shared" si="4"/>
        <v>77024</v>
      </c>
      <c r="G40" s="491">
        <f t="shared" si="4"/>
        <v>759.4</v>
      </c>
      <c r="H40" s="488">
        <f t="shared" si="4"/>
        <v>69040</v>
      </c>
      <c r="I40" s="488">
        <f t="shared" si="4"/>
        <v>915</v>
      </c>
      <c r="J40" s="491">
        <f t="shared" si="4"/>
        <v>20199.050000000003</v>
      </c>
      <c r="K40" s="491">
        <f t="shared" si="4"/>
        <v>3199.83</v>
      </c>
      <c r="L40" s="488">
        <f t="shared" si="4"/>
        <v>23388.879999999997</v>
      </c>
      <c r="M40" s="489">
        <f t="shared" si="4"/>
        <v>759.21</v>
      </c>
      <c r="N40" s="491">
        <f t="shared" si="4"/>
        <v>25904.245199999998</v>
      </c>
    </row>
    <row r="41" spans="1:14">
      <c r="E41" s="471"/>
      <c r="F41" s="471"/>
      <c r="G41" s="471"/>
      <c r="H41" s="471"/>
      <c r="I41" s="471"/>
      <c r="J41" s="471"/>
      <c r="K41" s="471"/>
      <c r="L41" s="471"/>
      <c r="M41" s="477"/>
      <c r="N41" s="477"/>
    </row>
    <row r="42" spans="1:14">
      <c r="E42" s="471"/>
      <c r="F42" s="471"/>
      <c r="G42" s="471"/>
      <c r="H42" s="471"/>
      <c r="I42" s="471"/>
      <c r="J42" s="471"/>
      <c r="K42" s="471"/>
      <c r="L42" s="471"/>
      <c r="M42" s="477"/>
      <c r="N42" s="477"/>
    </row>
    <row r="43" spans="1:14">
      <c r="E43" s="471"/>
      <c r="F43" s="471"/>
      <c r="G43" s="471"/>
      <c r="H43" s="471"/>
      <c r="I43" s="471"/>
      <c r="J43" s="471"/>
      <c r="K43" s="471"/>
      <c r="L43" s="471"/>
      <c r="M43" s="477"/>
      <c r="N43" s="477"/>
    </row>
    <row r="44" spans="1:14">
      <c r="E44" s="471"/>
      <c r="F44" s="471"/>
      <c r="G44" s="471"/>
      <c r="H44" s="471"/>
      <c r="I44" s="471"/>
      <c r="J44" s="471"/>
      <c r="K44" s="471"/>
      <c r="L44" s="471"/>
      <c r="M44" s="477"/>
      <c r="N44" s="477"/>
    </row>
    <row r="45" spans="1:14">
      <c r="E45" s="471"/>
      <c r="F45" s="471"/>
      <c r="G45" s="471"/>
      <c r="H45" s="471"/>
      <c r="I45" s="471"/>
      <c r="J45" s="471"/>
      <c r="K45" s="471"/>
      <c r="L45" s="471"/>
      <c r="M45" s="477"/>
      <c r="N45" s="477"/>
    </row>
    <row r="46" spans="1:14">
      <c r="E46" s="471"/>
      <c r="F46" s="471"/>
      <c r="G46" s="471"/>
      <c r="H46" s="471"/>
      <c r="I46" s="471"/>
      <c r="J46" s="471"/>
      <c r="K46" s="471"/>
      <c r="L46" s="471"/>
      <c r="M46" s="477"/>
      <c r="N46" s="477"/>
    </row>
    <row r="47" spans="1:14">
      <c r="E47" s="471"/>
      <c r="F47" s="471"/>
      <c r="G47" s="471"/>
      <c r="H47" s="471"/>
      <c r="I47" s="471"/>
      <c r="J47" s="471"/>
      <c r="K47" s="471"/>
      <c r="L47" s="471"/>
      <c r="M47" s="477"/>
      <c r="N47" s="477"/>
    </row>
    <row r="48" spans="1:14">
      <c r="E48" s="471"/>
      <c r="F48" s="471"/>
      <c r="G48" s="471"/>
      <c r="H48" s="471"/>
      <c r="I48" s="471"/>
      <c r="J48" s="471"/>
      <c r="K48" s="471"/>
      <c r="L48" s="471"/>
      <c r="M48" s="477"/>
      <c r="N48" s="477"/>
    </row>
    <row r="49" spans="5:14">
      <c r="E49" s="471"/>
      <c r="F49" s="471"/>
      <c r="G49" s="471"/>
      <c r="H49" s="471"/>
      <c r="I49" s="471"/>
      <c r="J49" s="471"/>
      <c r="K49" s="471"/>
      <c r="L49" s="471"/>
      <c r="M49" s="477"/>
      <c r="N49" s="477"/>
    </row>
    <row r="50" spans="5:14">
      <c r="E50" s="471"/>
      <c r="F50" s="471"/>
      <c r="G50" s="471"/>
      <c r="H50" s="471"/>
      <c r="I50" s="471"/>
      <c r="J50" s="471"/>
      <c r="K50" s="471"/>
      <c r="L50" s="471"/>
      <c r="M50" s="477"/>
      <c r="N50" s="477"/>
    </row>
    <row r="51" spans="5:14">
      <c r="E51" s="471"/>
      <c r="F51" s="471"/>
      <c r="G51" s="471"/>
      <c r="H51" s="471"/>
      <c r="I51" s="471"/>
      <c r="J51" s="471"/>
      <c r="K51" s="471"/>
      <c r="L51" s="471"/>
      <c r="M51" s="477"/>
      <c r="N51" s="477"/>
    </row>
    <row r="52" spans="5:14">
      <c r="E52" s="471"/>
      <c r="F52" s="471"/>
      <c r="G52" s="471"/>
      <c r="H52" s="471"/>
      <c r="I52" s="471"/>
      <c r="J52" s="471"/>
      <c r="K52" s="471"/>
      <c r="L52" s="471"/>
      <c r="M52" s="477"/>
      <c r="N52" s="477"/>
    </row>
    <row r="53" spans="5:14">
      <c r="E53" s="471"/>
      <c r="F53" s="471"/>
      <c r="G53" s="471"/>
      <c r="H53" s="471"/>
      <c r="I53" s="471"/>
      <c r="J53" s="471"/>
      <c r="K53" s="471"/>
      <c r="L53" s="471"/>
      <c r="M53" s="477"/>
      <c r="N53" s="477"/>
    </row>
    <row r="54" spans="5:14">
      <c r="E54" s="471"/>
      <c r="F54" s="471"/>
      <c r="G54" s="471"/>
      <c r="H54" s="471"/>
      <c r="I54" s="471"/>
      <c r="J54" s="471"/>
      <c r="K54" s="471"/>
      <c r="L54" s="471"/>
      <c r="M54" s="477"/>
      <c r="N54" s="477"/>
    </row>
    <row r="55" spans="5:14">
      <c r="E55" s="471"/>
      <c r="F55" s="471"/>
      <c r="G55" s="471"/>
      <c r="H55" s="471"/>
      <c r="I55" s="471"/>
      <c r="J55" s="471"/>
      <c r="K55" s="471"/>
      <c r="L55" s="471"/>
      <c r="M55" s="477"/>
      <c r="N55" s="477"/>
    </row>
    <row r="56" spans="5:14">
      <c r="E56" s="471"/>
      <c r="F56" s="471"/>
      <c r="G56" s="471"/>
      <c r="H56" s="471"/>
      <c r="I56" s="471"/>
      <c r="J56" s="471"/>
      <c r="K56" s="471"/>
      <c r="L56" s="471"/>
      <c r="M56" s="477"/>
      <c r="N56" s="477"/>
    </row>
    <row r="57" spans="5:14">
      <c r="E57" s="471"/>
      <c r="F57" s="471"/>
      <c r="G57" s="471"/>
      <c r="H57" s="471"/>
      <c r="I57" s="471"/>
      <c r="J57" s="471"/>
      <c r="K57" s="471"/>
      <c r="L57" s="471"/>
      <c r="M57" s="477"/>
      <c r="N57" s="477"/>
    </row>
    <row r="58" spans="5:14">
      <c r="E58" s="471"/>
      <c r="F58" s="471"/>
      <c r="G58" s="471"/>
      <c r="H58" s="471"/>
      <c r="I58" s="471"/>
      <c r="J58" s="471"/>
      <c r="K58" s="471"/>
      <c r="L58" s="471"/>
      <c r="M58" s="477"/>
      <c r="N58" s="477"/>
    </row>
    <row r="59" spans="5:14">
      <c r="E59" s="471"/>
      <c r="F59" s="471"/>
      <c r="G59" s="471"/>
      <c r="H59" s="471"/>
      <c r="I59" s="471"/>
      <c r="J59" s="471"/>
      <c r="K59" s="471"/>
      <c r="L59" s="471"/>
      <c r="M59" s="477"/>
      <c r="N59" s="477"/>
    </row>
    <row r="60" spans="5:14">
      <c r="E60" s="471"/>
      <c r="F60" s="471"/>
      <c r="G60" s="471"/>
      <c r="H60" s="471"/>
      <c r="I60" s="471"/>
      <c r="J60" s="471"/>
      <c r="K60" s="471"/>
      <c r="L60" s="471"/>
      <c r="M60" s="477"/>
      <c r="N60" s="477"/>
    </row>
    <row r="61" spans="5:14">
      <c r="E61" s="471"/>
      <c r="F61" s="471"/>
      <c r="G61" s="471"/>
      <c r="H61" s="471"/>
      <c r="I61" s="471"/>
      <c r="J61" s="471"/>
      <c r="K61" s="471"/>
      <c r="L61" s="471"/>
      <c r="M61" s="477"/>
      <c r="N61" s="477"/>
    </row>
    <row r="62" spans="5:14">
      <c r="E62" s="471"/>
      <c r="F62" s="471"/>
      <c r="G62" s="471"/>
      <c r="H62" s="471"/>
      <c r="I62" s="471"/>
      <c r="J62" s="471"/>
      <c r="K62" s="471"/>
      <c r="L62" s="471"/>
      <c r="M62" s="477"/>
      <c r="N62" s="477"/>
    </row>
    <row r="63" spans="5:14">
      <c r="E63" s="471"/>
      <c r="F63" s="471"/>
      <c r="G63" s="471"/>
      <c r="H63" s="471"/>
      <c r="I63" s="471"/>
      <c r="J63" s="471"/>
      <c r="K63" s="471"/>
      <c r="L63" s="471"/>
      <c r="M63" s="477"/>
      <c r="N63" s="477"/>
    </row>
    <row r="64" spans="5:14">
      <c r="E64" s="471"/>
      <c r="F64" s="471"/>
      <c r="G64" s="471"/>
      <c r="H64" s="471"/>
      <c r="I64" s="471"/>
      <c r="J64" s="471"/>
      <c r="K64" s="471"/>
      <c r="L64" s="471"/>
      <c r="M64" s="477"/>
      <c r="N64" s="477"/>
    </row>
    <row r="65" spans="5:14">
      <c r="E65" s="471"/>
      <c r="F65" s="471"/>
      <c r="G65" s="471"/>
      <c r="H65" s="471"/>
      <c r="I65" s="471"/>
      <c r="J65" s="471"/>
      <c r="K65" s="471"/>
      <c r="L65" s="471"/>
      <c r="M65" s="477"/>
      <c r="N65" s="477"/>
    </row>
    <row r="66" spans="5:14">
      <c r="E66" s="471"/>
      <c r="F66" s="471"/>
      <c r="G66" s="471"/>
      <c r="H66" s="471"/>
      <c r="I66" s="471"/>
      <c r="J66" s="471"/>
      <c r="K66" s="471"/>
      <c r="L66" s="471"/>
      <c r="M66" s="477"/>
      <c r="N66" s="477"/>
    </row>
    <row r="67" spans="5:14">
      <c r="E67" s="471"/>
      <c r="F67" s="471"/>
      <c r="G67" s="471"/>
      <c r="H67" s="471"/>
      <c r="I67" s="471"/>
      <c r="J67" s="471"/>
      <c r="K67" s="471"/>
      <c r="L67" s="471"/>
      <c r="M67" s="477"/>
      <c r="N67" s="477"/>
    </row>
    <row r="68" spans="5:14">
      <c r="E68" s="471"/>
      <c r="F68" s="471"/>
      <c r="G68" s="471"/>
      <c r="H68" s="471"/>
      <c r="I68" s="471"/>
      <c r="J68" s="471"/>
      <c r="K68" s="471"/>
      <c r="L68" s="471"/>
      <c r="M68" s="477"/>
      <c r="N68" s="477"/>
    </row>
    <row r="69" spans="5:14">
      <c r="E69" s="471"/>
      <c r="F69" s="471"/>
      <c r="G69" s="471"/>
      <c r="H69" s="471"/>
      <c r="I69" s="471"/>
      <c r="J69" s="471"/>
      <c r="K69" s="471"/>
      <c r="L69" s="471"/>
      <c r="M69" s="477"/>
      <c r="N69" s="477"/>
    </row>
    <row r="70" spans="5:14">
      <c r="E70" s="471"/>
      <c r="F70" s="471"/>
      <c r="G70" s="471"/>
      <c r="H70" s="471"/>
      <c r="I70" s="471"/>
      <c r="J70" s="471"/>
      <c r="K70" s="471"/>
      <c r="L70" s="471"/>
      <c r="M70" s="477"/>
      <c r="N70" s="477"/>
    </row>
    <row r="71" spans="5:14">
      <c r="E71" s="471"/>
      <c r="F71" s="471"/>
      <c r="G71" s="471"/>
      <c r="H71" s="471"/>
      <c r="I71" s="471"/>
      <c r="J71" s="471"/>
      <c r="K71" s="471"/>
      <c r="L71" s="471"/>
      <c r="M71" s="477"/>
      <c r="N71" s="477"/>
    </row>
    <row r="72" spans="5:14">
      <c r="E72" s="471"/>
      <c r="F72" s="471"/>
      <c r="G72" s="471"/>
      <c r="H72" s="471"/>
      <c r="I72" s="471"/>
      <c r="J72" s="471"/>
      <c r="K72" s="471"/>
      <c r="L72" s="471"/>
      <c r="M72" s="477"/>
      <c r="N72" s="477"/>
    </row>
    <row r="73" spans="5:14">
      <c r="E73" s="471"/>
      <c r="F73" s="471"/>
      <c r="G73" s="471"/>
      <c r="H73" s="471"/>
      <c r="I73" s="471"/>
      <c r="J73" s="471"/>
      <c r="K73" s="471"/>
      <c r="L73" s="471"/>
      <c r="M73" s="477"/>
      <c r="N73" s="477"/>
    </row>
    <row r="74" spans="5:14">
      <c r="E74" s="471"/>
      <c r="F74" s="471"/>
      <c r="G74" s="471"/>
      <c r="H74" s="471"/>
      <c r="I74" s="471"/>
      <c r="J74" s="471"/>
      <c r="K74" s="471"/>
      <c r="L74" s="471"/>
      <c r="M74" s="477"/>
      <c r="N74" s="477"/>
    </row>
    <row r="75" spans="5:14">
      <c r="E75" s="471"/>
      <c r="F75" s="471"/>
      <c r="G75" s="471"/>
      <c r="H75" s="471"/>
      <c r="I75" s="471"/>
      <c r="J75" s="471"/>
      <c r="K75" s="471"/>
      <c r="L75" s="471"/>
      <c r="M75" s="477"/>
      <c r="N75" s="477"/>
    </row>
    <row r="76" spans="5:14">
      <c r="E76" s="471"/>
      <c r="F76" s="471"/>
      <c r="G76" s="471"/>
      <c r="H76" s="471"/>
      <c r="I76" s="471"/>
      <c r="J76" s="471"/>
      <c r="K76" s="471"/>
      <c r="L76" s="471"/>
      <c r="M76" s="477"/>
      <c r="N76" s="477"/>
    </row>
    <row r="77" spans="5:14">
      <c r="E77" s="471"/>
      <c r="F77" s="471"/>
      <c r="G77" s="471"/>
      <c r="H77" s="471"/>
      <c r="I77" s="471"/>
      <c r="J77" s="471"/>
      <c r="K77" s="471"/>
      <c r="L77" s="471"/>
      <c r="M77" s="477"/>
      <c r="N77" s="477"/>
    </row>
    <row r="78" spans="5:14">
      <c r="E78" s="471"/>
      <c r="F78" s="471"/>
      <c r="G78" s="471"/>
      <c r="H78" s="471"/>
      <c r="I78" s="471"/>
      <c r="J78" s="471"/>
      <c r="K78" s="471"/>
      <c r="L78" s="471"/>
      <c r="M78" s="477"/>
      <c r="N78" s="477"/>
    </row>
    <row r="79" spans="5:14">
      <c r="E79" s="471"/>
      <c r="F79" s="471"/>
      <c r="G79" s="471"/>
      <c r="H79" s="471"/>
      <c r="I79" s="471"/>
      <c r="J79" s="471"/>
      <c r="K79" s="471"/>
      <c r="L79" s="471"/>
      <c r="M79" s="477"/>
      <c r="N79" s="477"/>
    </row>
    <row r="80" spans="5:14">
      <c r="E80" s="471"/>
      <c r="F80" s="471"/>
      <c r="G80" s="471"/>
      <c r="H80" s="471"/>
      <c r="I80" s="471"/>
      <c r="J80" s="471"/>
      <c r="K80" s="471"/>
      <c r="L80" s="471"/>
      <c r="M80" s="477"/>
      <c r="N80" s="477"/>
    </row>
    <row r="81" spans="5:14">
      <c r="E81" s="471"/>
      <c r="F81" s="471"/>
      <c r="G81" s="471"/>
      <c r="H81" s="471"/>
      <c r="I81" s="471"/>
      <c r="J81" s="471"/>
      <c r="K81" s="471"/>
      <c r="L81" s="471"/>
      <c r="M81" s="477"/>
      <c r="N81" s="477"/>
    </row>
    <row r="82" spans="5:14">
      <c r="E82" s="471"/>
      <c r="F82" s="471"/>
      <c r="G82" s="471"/>
      <c r="H82" s="471"/>
      <c r="I82" s="471"/>
      <c r="J82" s="471"/>
      <c r="K82" s="471"/>
      <c r="L82" s="471"/>
      <c r="M82" s="477"/>
      <c r="N82" s="477"/>
    </row>
    <row r="83" spans="5:14">
      <c r="E83" s="471"/>
      <c r="F83" s="471"/>
      <c r="G83" s="471"/>
      <c r="H83" s="471"/>
      <c r="I83" s="471"/>
      <c r="J83" s="471"/>
      <c r="K83" s="471"/>
      <c r="L83" s="471"/>
      <c r="M83" s="477"/>
      <c r="N83" s="477"/>
    </row>
    <row r="84" spans="5:14">
      <c r="E84" s="471"/>
      <c r="F84" s="471"/>
      <c r="G84" s="471"/>
      <c r="H84" s="471"/>
      <c r="I84" s="471"/>
      <c r="J84" s="471"/>
      <c r="K84" s="471"/>
      <c r="L84" s="471"/>
      <c r="M84" s="477"/>
      <c r="N84" s="477"/>
    </row>
    <row r="85" spans="5:14">
      <c r="E85" s="471"/>
      <c r="F85" s="471"/>
      <c r="G85" s="471"/>
      <c r="H85" s="471"/>
      <c r="I85" s="471"/>
      <c r="J85" s="471"/>
      <c r="K85" s="471"/>
      <c r="L85" s="471"/>
      <c r="M85" s="477"/>
      <c r="N85" s="477"/>
    </row>
    <row r="86" spans="5:14">
      <c r="E86" s="471"/>
      <c r="F86" s="471"/>
      <c r="G86" s="471"/>
      <c r="H86" s="471"/>
      <c r="I86" s="471"/>
      <c r="J86" s="471"/>
      <c r="K86" s="471"/>
      <c r="L86" s="471"/>
      <c r="M86" s="477"/>
      <c r="N86" s="477"/>
    </row>
    <row r="87" spans="5:14">
      <c r="E87" s="471"/>
      <c r="F87" s="471"/>
      <c r="G87" s="471"/>
      <c r="H87" s="471"/>
      <c r="I87" s="471"/>
      <c r="J87" s="471"/>
      <c r="K87" s="471"/>
      <c r="L87" s="471"/>
      <c r="M87" s="477"/>
      <c r="N87" s="477"/>
    </row>
    <row r="88" spans="5:14">
      <c r="E88" s="471"/>
      <c r="F88" s="471"/>
      <c r="G88" s="471"/>
      <c r="H88" s="471"/>
      <c r="I88" s="471"/>
      <c r="J88" s="471"/>
      <c r="K88" s="471"/>
      <c r="L88" s="471"/>
      <c r="M88" s="477"/>
      <c r="N88" s="477"/>
    </row>
    <row r="89" spans="5:14">
      <c r="E89" s="471"/>
      <c r="F89" s="471"/>
      <c r="G89" s="471"/>
      <c r="H89" s="471"/>
      <c r="I89" s="471"/>
      <c r="J89" s="471"/>
      <c r="K89" s="471"/>
      <c r="L89" s="471"/>
      <c r="M89" s="477"/>
      <c r="N89" s="477"/>
    </row>
    <row r="90" spans="5:14">
      <c r="E90" s="471"/>
      <c r="F90" s="471"/>
      <c r="G90" s="471"/>
      <c r="H90" s="471"/>
      <c r="I90" s="471"/>
      <c r="J90" s="471"/>
      <c r="K90" s="471"/>
      <c r="L90" s="471"/>
      <c r="M90" s="477"/>
      <c r="N90" s="477"/>
    </row>
    <row r="91" spans="5:14">
      <c r="E91" s="471"/>
      <c r="F91" s="471"/>
      <c r="G91" s="471"/>
      <c r="H91" s="471"/>
      <c r="I91" s="471"/>
      <c r="J91" s="471"/>
      <c r="K91" s="471"/>
      <c r="L91" s="471"/>
      <c r="M91" s="477"/>
      <c r="N91" s="477"/>
    </row>
    <row r="92" spans="5:14">
      <c r="E92" s="471"/>
      <c r="F92" s="471"/>
      <c r="G92" s="471"/>
      <c r="H92" s="471"/>
      <c r="I92" s="471"/>
      <c r="J92" s="471"/>
      <c r="K92" s="471"/>
      <c r="L92" s="471"/>
      <c r="M92" s="477"/>
      <c r="N92" s="477"/>
    </row>
    <row r="93" spans="5:14">
      <c r="E93" s="471"/>
      <c r="F93" s="471"/>
      <c r="G93" s="471"/>
      <c r="H93" s="471"/>
      <c r="I93" s="471"/>
      <c r="J93" s="471"/>
      <c r="K93" s="471"/>
      <c r="L93" s="471"/>
      <c r="M93" s="477"/>
      <c r="N93" s="477"/>
    </row>
    <row r="94" spans="5:14">
      <c r="E94" s="471"/>
      <c r="F94" s="471"/>
      <c r="G94" s="471"/>
      <c r="H94" s="471"/>
      <c r="I94" s="471"/>
      <c r="J94" s="471"/>
      <c r="K94" s="471"/>
      <c r="L94" s="471"/>
      <c r="M94" s="477"/>
      <c r="N94" s="477"/>
    </row>
    <row r="95" spans="5:14">
      <c r="E95" s="471"/>
      <c r="M95" s="477"/>
      <c r="N95" s="477"/>
    </row>
    <row r="96" spans="5:14">
      <c r="E96" s="471"/>
      <c r="M96" s="477"/>
      <c r="N96" s="477"/>
    </row>
    <row r="97" spans="5:14">
      <c r="E97" s="471"/>
      <c r="M97" s="477"/>
      <c r="N97" s="477"/>
    </row>
    <row r="98" spans="5:14">
      <c r="E98" s="471"/>
      <c r="M98" s="477"/>
      <c r="N98" s="477"/>
    </row>
    <row r="99" spans="5:14">
      <c r="E99" s="471"/>
      <c r="M99" s="477"/>
      <c r="N99" s="477"/>
    </row>
    <row r="100" spans="5:14">
      <c r="E100" s="471"/>
      <c r="M100" s="477"/>
      <c r="N100" s="477"/>
    </row>
    <row r="101" spans="5:14">
      <c r="E101" s="471"/>
      <c r="M101" s="477"/>
      <c r="N101" s="477"/>
    </row>
    <row r="102" spans="5:14">
      <c r="E102" s="471"/>
      <c r="M102" s="477"/>
      <c r="N102" s="477"/>
    </row>
    <row r="103" spans="5:14">
      <c r="E103" s="471"/>
      <c r="M103" s="477"/>
      <c r="N103" s="477"/>
    </row>
    <row r="104" spans="5:14">
      <c r="E104" s="471"/>
      <c r="M104" s="477"/>
      <c r="N104" s="477"/>
    </row>
    <row r="105" spans="5:14">
      <c r="E105" s="471"/>
      <c r="M105" s="477"/>
      <c r="N105" s="477"/>
    </row>
    <row r="106" spans="5:14">
      <c r="E106" s="471"/>
      <c r="M106" s="477"/>
      <c r="N106" s="477"/>
    </row>
    <row r="107" spans="5:14">
      <c r="E107" s="471"/>
      <c r="M107" s="477"/>
      <c r="N107" s="477"/>
    </row>
    <row r="108" spans="5:14">
      <c r="E108" s="471"/>
      <c r="M108" s="477"/>
      <c r="N108" s="477"/>
    </row>
    <row r="109" spans="5:14">
      <c r="M109" s="477"/>
      <c r="N109" s="477"/>
    </row>
    <row r="110" spans="5:14">
      <c r="M110" s="477"/>
      <c r="N110" s="477"/>
    </row>
    <row r="111" spans="5:14">
      <c r="M111" s="477"/>
      <c r="N111" s="477"/>
    </row>
    <row r="112" spans="5:14">
      <c r="M112" s="477"/>
      <c r="N112" s="477"/>
    </row>
    <row r="113" spans="13:14">
      <c r="M113" s="477"/>
      <c r="N113" s="477"/>
    </row>
    <row r="114" spans="13:14">
      <c r="M114" s="477"/>
      <c r="N114" s="477"/>
    </row>
  </sheetData>
  <mergeCells count="45">
    <mergeCell ref="O3:O5"/>
    <mergeCell ref="Q22:S22"/>
    <mergeCell ref="Q23:S23"/>
    <mergeCell ref="T23:V23"/>
    <mergeCell ref="A20:N20"/>
    <mergeCell ref="G21:I21"/>
    <mergeCell ref="J21:L21"/>
    <mergeCell ref="M21:N22"/>
    <mergeCell ref="C22:D23"/>
    <mergeCell ref="E22:E23"/>
    <mergeCell ref="F22:F23"/>
    <mergeCell ref="G22:G23"/>
    <mergeCell ref="H22:I22"/>
    <mergeCell ref="J22:J23"/>
    <mergeCell ref="K22:K23"/>
    <mergeCell ref="L22:L23"/>
    <mergeCell ref="Q3:S3"/>
    <mergeCell ref="C2:F2"/>
    <mergeCell ref="C3:D4"/>
    <mergeCell ref="A1:N1"/>
    <mergeCell ref="Q4:S4"/>
    <mergeCell ref="M2:N3"/>
    <mergeCell ref="E3:E4"/>
    <mergeCell ref="G3:G4"/>
    <mergeCell ref="H3:I3"/>
    <mergeCell ref="J3:J4"/>
    <mergeCell ref="K3:K4"/>
    <mergeCell ref="L3:L4"/>
    <mergeCell ref="F3:F4"/>
    <mergeCell ref="A2:A4"/>
    <mergeCell ref="B2:B4"/>
    <mergeCell ref="G2:I2"/>
    <mergeCell ref="T4:V4"/>
    <mergeCell ref="Q5:Q6"/>
    <mergeCell ref="R5:R6"/>
    <mergeCell ref="S5:S6"/>
    <mergeCell ref="T5:T6"/>
    <mergeCell ref="U5:V5"/>
    <mergeCell ref="J2:L2"/>
    <mergeCell ref="A39:D39"/>
    <mergeCell ref="A40:D40"/>
    <mergeCell ref="A18:D18"/>
    <mergeCell ref="A21:A23"/>
    <mergeCell ref="B21:B23"/>
    <mergeCell ref="C21:F21"/>
  </mergeCells>
  <pageMargins left="0" right="0" top="0" bottom="0" header="0" footer="0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51"/>
  <sheetViews>
    <sheetView topLeftCell="A78" zoomScale="130" zoomScaleNormal="130" workbookViewId="0">
      <selection activeCell="A77" sqref="A77:N85"/>
    </sheetView>
  </sheetViews>
  <sheetFormatPr defaultRowHeight="16.5"/>
  <cols>
    <col min="1" max="1" width="5.42578125" style="2" customWidth="1"/>
    <col min="2" max="2" width="11.7109375" style="2" customWidth="1"/>
    <col min="3" max="3" width="6" style="2" customWidth="1"/>
    <col min="4" max="4" width="19.28515625" style="12" customWidth="1"/>
    <col min="5" max="5" width="10.42578125" style="12" customWidth="1"/>
    <col min="6" max="7" width="10.42578125" style="13" customWidth="1"/>
    <col min="8" max="8" width="9.5703125" style="13" customWidth="1"/>
    <col min="9" max="9" width="9" style="13" customWidth="1"/>
    <col min="10" max="10" width="9.28515625" style="12" customWidth="1"/>
    <col min="11" max="12" width="9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25.5" customHeight="1">
      <c r="A1" s="750" t="s">
        <v>567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55" t="s">
        <v>752</v>
      </c>
      <c r="N3" s="755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55"/>
      <c r="N4" s="755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382" t="s">
        <v>753</v>
      </c>
      <c r="N5" s="383" t="s">
        <v>754</v>
      </c>
    </row>
    <row r="6" spans="1:14" ht="24.75" customHeight="1">
      <c r="A6" s="15"/>
      <c r="B6" s="35" t="s">
        <v>20</v>
      </c>
      <c r="C6" s="15">
        <v>1</v>
      </c>
      <c r="D6" s="301" t="s">
        <v>568</v>
      </c>
      <c r="E6" s="15">
        <v>133</v>
      </c>
      <c r="F6" s="756">
        <v>1.66</v>
      </c>
      <c r="G6" s="758"/>
      <c r="H6" s="52">
        <v>200</v>
      </c>
      <c r="I6" s="15">
        <v>1</v>
      </c>
      <c r="J6" s="757">
        <v>47.4</v>
      </c>
      <c r="K6" s="757">
        <v>6.98</v>
      </c>
      <c r="L6" s="757">
        <f>J6+K6</f>
        <v>54.379999999999995</v>
      </c>
      <c r="M6" s="444">
        <v>1</v>
      </c>
      <c r="N6" s="444">
        <f t="shared" ref="N6:N13" si="0">M6*34.12</f>
        <v>34.119999999999997</v>
      </c>
    </row>
    <row r="7" spans="1:14" ht="24.75" customHeight="1">
      <c r="A7" s="22"/>
      <c r="B7" s="54" t="s">
        <v>839</v>
      </c>
      <c r="C7" s="22">
        <v>2</v>
      </c>
      <c r="D7" s="58" t="s">
        <v>569</v>
      </c>
      <c r="E7" s="22">
        <v>71</v>
      </c>
      <c r="F7" s="739"/>
      <c r="G7" s="665"/>
      <c r="H7" s="55">
        <v>160</v>
      </c>
      <c r="I7" s="22">
        <v>1</v>
      </c>
      <c r="J7" s="736"/>
      <c r="K7" s="736"/>
      <c r="L7" s="736"/>
      <c r="M7" s="445">
        <v>0.8</v>
      </c>
      <c r="N7" s="445">
        <f t="shared" si="0"/>
        <v>27.295999999999999</v>
      </c>
    </row>
    <row r="8" spans="1:14" ht="24.75" customHeight="1">
      <c r="A8" s="22"/>
      <c r="B8" s="22"/>
      <c r="C8" s="22">
        <v>3</v>
      </c>
      <c r="D8" s="58" t="s">
        <v>570</v>
      </c>
      <c r="E8" s="22">
        <v>43</v>
      </c>
      <c r="F8" s="45">
        <v>0.79</v>
      </c>
      <c r="G8" s="24"/>
      <c r="H8" s="55">
        <v>50</v>
      </c>
      <c r="I8" s="22">
        <v>1</v>
      </c>
      <c r="J8" s="48">
        <v>21</v>
      </c>
      <c r="K8" s="48">
        <v>3.4</v>
      </c>
      <c r="L8" s="48">
        <f>J8+K8</f>
        <v>24.4</v>
      </c>
      <c r="M8" s="445">
        <v>0.56999999999999995</v>
      </c>
      <c r="N8" s="445">
        <f t="shared" si="0"/>
        <v>19.448399999999996</v>
      </c>
    </row>
    <row r="9" spans="1:14" ht="24.75" customHeight="1">
      <c r="A9" s="22"/>
      <c r="B9" s="22"/>
      <c r="C9" s="22">
        <v>4</v>
      </c>
      <c r="D9" s="58" t="s">
        <v>571</v>
      </c>
      <c r="E9" s="22">
        <v>84</v>
      </c>
      <c r="F9" s="45">
        <v>0.42</v>
      </c>
      <c r="G9" s="24"/>
      <c r="H9" s="22">
        <v>100</v>
      </c>
      <c r="I9" s="22">
        <v>1</v>
      </c>
      <c r="J9" s="48">
        <v>16</v>
      </c>
      <c r="K9" s="48">
        <v>2.2000000000000002</v>
      </c>
      <c r="L9" s="48">
        <f>J9+K9</f>
        <v>18.2</v>
      </c>
      <c r="M9" s="445">
        <v>0.76</v>
      </c>
      <c r="N9" s="445">
        <f t="shared" si="0"/>
        <v>25.931199999999997</v>
      </c>
    </row>
    <row r="10" spans="1:14" ht="24.75" customHeight="1">
      <c r="A10" s="22"/>
      <c r="B10" s="22"/>
      <c r="C10" s="22">
        <v>5</v>
      </c>
      <c r="D10" s="58" t="s">
        <v>572</v>
      </c>
      <c r="E10" s="22">
        <v>90</v>
      </c>
      <c r="F10" s="45">
        <v>1.08</v>
      </c>
      <c r="G10" s="24"/>
      <c r="H10" s="22">
        <v>100</v>
      </c>
      <c r="I10" s="22">
        <v>1</v>
      </c>
      <c r="J10" s="48">
        <v>26.2</v>
      </c>
      <c r="K10" s="48">
        <v>4.24</v>
      </c>
      <c r="L10" s="48">
        <f t="shared" ref="L10:L56" si="1">J10+K10</f>
        <v>30.439999999999998</v>
      </c>
      <c r="M10" s="445">
        <v>0.76</v>
      </c>
      <c r="N10" s="445">
        <f t="shared" si="0"/>
        <v>25.931199999999997</v>
      </c>
    </row>
    <row r="11" spans="1:14" ht="24.75" customHeight="1">
      <c r="A11" s="22"/>
      <c r="B11" s="22"/>
      <c r="C11" s="22">
        <v>6</v>
      </c>
      <c r="D11" s="58" t="s">
        <v>573</v>
      </c>
      <c r="E11" s="22">
        <v>167</v>
      </c>
      <c r="F11" s="45">
        <v>0.95</v>
      </c>
      <c r="G11" s="24"/>
      <c r="H11" s="22">
        <v>200</v>
      </c>
      <c r="I11" s="22">
        <v>1</v>
      </c>
      <c r="J11" s="48">
        <v>25.7</v>
      </c>
      <c r="K11" s="48">
        <v>3.85</v>
      </c>
      <c r="L11" s="48">
        <f t="shared" si="1"/>
        <v>29.55</v>
      </c>
      <c r="M11" s="445">
        <v>1</v>
      </c>
      <c r="N11" s="445">
        <f t="shared" si="0"/>
        <v>34.119999999999997</v>
      </c>
    </row>
    <row r="12" spans="1:14" ht="24.75" customHeight="1">
      <c r="A12" s="22"/>
      <c r="B12" s="22"/>
      <c r="C12" s="22">
        <v>7</v>
      </c>
      <c r="D12" s="58" t="s">
        <v>574</v>
      </c>
      <c r="E12" s="22">
        <v>76</v>
      </c>
      <c r="F12" s="45">
        <v>1.49</v>
      </c>
      <c r="G12" s="24"/>
      <c r="H12" s="22">
        <v>100</v>
      </c>
      <c r="I12" s="22">
        <v>1</v>
      </c>
      <c r="J12" s="48">
        <v>32.5</v>
      </c>
      <c r="K12" s="48">
        <v>5.5</v>
      </c>
      <c r="L12" s="48">
        <f t="shared" si="1"/>
        <v>38</v>
      </c>
      <c r="M12" s="445">
        <v>0.76</v>
      </c>
      <c r="N12" s="445">
        <f t="shared" si="0"/>
        <v>25.931199999999997</v>
      </c>
    </row>
    <row r="13" spans="1:14" ht="24.75" customHeight="1">
      <c r="A13" s="22"/>
      <c r="B13" s="22"/>
      <c r="C13" s="22">
        <v>8</v>
      </c>
      <c r="D13" s="58" t="s">
        <v>251</v>
      </c>
      <c r="E13" s="22">
        <v>33</v>
      </c>
      <c r="F13" s="739">
        <v>0.51</v>
      </c>
      <c r="G13" s="665"/>
      <c r="H13" s="690">
        <v>100</v>
      </c>
      <c r="I13" s="690">
        <v>1</v>
      </c>
      <c r="J13" s="736">
        <v>17.5</v>
      </c>
      <c r="K13" s="736">
        <v>2.5</v>
      </c>
      <c r="L13" s="736">
        <f t="shared" si="1"/>
        <v>20</v>
      </c>
      <c r="M13" s="744">
        <v>0.76</v>
      </c>
      <c r="N13" s="744">
        <f t="shared" si="0"/>
        <v>25.931199999999997</v>
      </c>
    </row>
    <row r="14" spans="1:14" ht="24.75" customHeight="1">
      <c r="A14" s="22"/>
      <c r="B14" s="22"/>
      <c r="C14" s="22">
        <v>9</v>
      </c>
      <c r="D14" s="58" t="s">
        <v>96</v>
      </c>
      <c r="E14" s="22">
        <v>43</v>
      </c>
      <c r="F14" s="739"/>
      <c r="G14" s="665"/>
      <c r="H14" s="690"/>
      <c r="I14" s="665"/>
      <c r="J14" s="736"/>
      <c r="K14" s="736"/>
      <c r="L14" s="736"/>
      <c r="M14" s="744"/>
      <c r="N14" s="744"/>
    </row>
    <row r="15" spans="1:14" ht="24.75" customHeight="1">
      <c r="A15" s="22"/>
      <c r="B15" s="22"/>
      <c r="C15" s="22">
        <v>10</v>
      </c>
      <c r="D15" s="58" t="s">
        <v>193</v>
      </c>
      <c r="E15" s="22">
        <v>32</v>
      </c>
      <c r="F15" s="739"/>
      <c r="G15" s="665"/>
      <c r="H15" s="690"/>
      <c r="I15" s="665"/>
      <c r="J15" s="736"/>
      <c r="K15" s="736"/>
      <c r="L15" s="736"/>
      <c r="M15" s="744"/>
      <c r="N15" s="744"/>
    </row>
    <row r="16" spans="1:14" ht="24.75" customHeight="1">
      <c r="A16" s="22"/>
      <c r="B16" s="22"/>
      <c r="C16" s="22">
        <v>11</v>
      </c>
      <c r="D16" s="58" t="s">
        <v>575</v>
      </c>
      <c r="E16" s="22">
        <v>99</v>
      </c>
      <c r="F16" s="45">
        <v>0.79</v>
      </c>
      <c r="G16" s="24"/>
      <c r="H16" s="22">
        <v>100</v>
      </c>
      <c r="I16" s="22">
        <v>1</v>
      </c>
      <c r="J16" s="48">
        <v>22</v>
      </c>
      <c r="K16" s="48">
        <v>3.4</v>
      </c>
      <c r="L16" s="48">
        <f t="shared" si="1"/>
        <v>25.4</v>
      </c>
      <c r="M16" s="445">
        <v>0.76</v>
      </c>
      <c r="N16" s="445">
        <f>M16*34.12</f>
        <v>25.931199999999997</v>
      </c>
    </row>
    <row r="17" spans="1:14" ht="24.75" customHeight="1">
      <c r="A17" s="22"/>
      <c r="B17" s="22"/>
      <c r="C17" s="22">
        <v>12</v>
      </c>
      <c r="D17" s="58" t="s">
        <v>576</v>
      </c>
      <c r="E17" s="22">
        <v>52</v>
      </c>
      <c r="F17" s="45">
        <v>0.37</v>
      </c>
      <c r="G17" s="24"/>
      <c r="H17" s="22">
        <v>100</v>
      </c>
      <c r="I17" s="22">
        <v>1</v>
      </c>
      <c r="J17" s="48">
        <v>16</v>
      </c>
      <c r="K17" s="48">
        <v>2.2000000000000002</v>
      </c>
      <c r="L17" s="48">
        <f t="shared" si="1"/>
        <v>18.2</v>
      </c>
      <c r="M17" s="445">
        <v>0.76</v>
      </c>
      <c r="N17" s="445">
        <f>M17*34.12</f>
        <v>25.931199999999997</v>
      </c>
    </row>
    <row r="18" spans="1:14" ht="24.75" customHeight="1">
      <c r="A18" s="22"/>
      <c r="B18" s="22"/>
      <c r="C18" s="22">
        <v>13</v>
      </c>
      <c r="D18" s="331" t="s">
        <v>573</v>
      </c>
      <c r="E18" s="22">
        <v>34</v>
      </c>
      <c r="F18" s="45">
        <v>0.32</v>
      </c>
      <c r="G18" s="24"/>
      <c r="H18" s="22">
        <v>50</v>
      </c>
      <c r="I18" s="22">
        <v>1</v>
      </c>
      <c r="J18" s="48">
        <v>13.5</v>
      </c>
      <c r="K18" s="48">
        <v>1.9</v>
      </c>
      <c r="L18" s="48">
        <f t="shared" si="1"/>
        <v>15.4</v>
      </c>
      <c r="M18" s="445">
        <v>0.56999999999999995</v>
      </c>
      <c r="N18" s="445">
        <f>M18*34.12</f>
        <v>19.448399999999996</v>
      </c>
    </row>
    <row r="19" spans="1:14" ht="24.75" customHeight="1">
      <c r="A19" s="22"/>
      <c r="B19" s="22"/>
      <c r="C19" s="22">
        <v>14</v>
      </c>
      <c r="D19" s="331" t="s">
        <v>577</v>
      </c>
      <c r="E19" s="22">
        <v>297</v>
      </c>
      <c r="F19" s="45">
        <f>8280/5280</f>
        <v>1.5681818181818181</v>
      </c>
      <c r="G19" s="24"/>
      <c r="H19" s="22">
        <v>200</v>
      </c>
      <c r="I19" s="22">
        <v>2</v>
      </c>
      <c r="J19" s="48">
        <v>47</v>
      </c>
      <c r="K19" s="48">
        <v>6.8</v>
      </c>
      <c r="L19" s="48">
        <f t="shared" si="1"/>
        <v>53.8</v>
      </c>
      <c r="M19" s="445">
        <v>1</v>
      </c>
      <c r="N19" s="445">
        <f>M19*34.12</f>
        <v>34.119999999999997</v>
      </c>
    </row>
    <row r="20" spans="1:14" ht="24.75" customHeight="1">
      <c r="A20" s="29"/>
      <c r="B20" s="29"/>
      <c r="C20" s="29">
        <v>15</v>
      </c>
      <c r="D20" s="308" t="s">
        <v>578</v>
      </c>
      <c r="E20" s="29">
        <v>51</v>
      </c>
      <c r="F20" s="46">
        <v>1.5</v>
      </c>
      <c r="G20" s="31"/>
      <c r="H20" s="29">
        <v>100</v>
      </c>
      <c r="I20" s="29">
        <v>1</v>
      </c>
      <c r="J20" s="49">
        <v>32.5</v>
      </c>
      <c r="K20" s="49">
        <v>5.5</v>
      </c>
      <c r="L20" s="102">
        <f t="shared" si="1"/>
        <v>38</v>
      </c>
      <c r="M20" s="446">
        <v>0.76</v>
      </c>
      <c r="N20" s="446">
        <f>M20*34.12</f>
        <v>25.931199999999997</v>
      </c>
    </row>
    <row r="21" spans="1:14" s="5" customFormat="1" ht="27.75" customHeight="1">
      <c r="A21" s="654" t="s">
        <v>1</v>
      </c>
      <c r="B21" s="632" t="s">
        <v>755</v>
      </c>
      <c r="C21" s="646" t="s">
        <v>21</v>
      </c>
      <c r="D21" s="647"/>
      <c r="E21" s="652" t="s">
        <v>756</v>
      </c>
      <c r="F21" s="654" t="s">
        <v>3</v>
      </c>
      <c r="G21" s="654"/>
      <c r="H21" s="654"/>
      <c r="I21" s="654"/>
      <c r="J21" s="654" t="s">
        <v>761</v>
      </c>
      <c r="K21" s="654"/>
      <c r="L21" s="654"/>
      <c r="M21" s="755" t="s">
        <v>752</v>
      </c>
      <c r="N21" s="755"/>
    </row>
    <row r="22" spans="1:14" s="5" customFormat="1" ht="40.5" customHeight="1">
      <c r="A22" s="654"/>
      <c r="B22" s="633"/>
      <c r="C22" s="648"/>
      <c r="D22" s="649"/>
      <c r="E22" s="652"/>
      <c r="F22" s="652" t="s">
        <v>757</v>
      </c>
      <c r="G22" s="652" t="s">
        <v>5</v>
      </c>
      <c r="H22" s="652" t="s">
        <v>6</v>
      </c>
      <c r="I22" s="652"/>
      <c r="J22" s="652" t="s">
        <v>22</v>
      </c>
      <c r="K22" s="652" t="s">
        <v>762</v>
      </c>
      <c r="L22" s="654" t="s">
        <v>8</v>
      </c>
      <c r="M22" s="755"/>
      <c r="N22" s="755"/>
    </row>
    <row r="23" spans="1:14" s="5" customFormat="1" ht="58.5" customHeight="1">
      <c r="A23" s="632"/>
      <c r="B23" s="634"/>
      <c r="C23" s="650"/>
      <c r="D23" s="651"/>
      <c r="E23" s="653"/>
      <c r="F23" s="653"/>
      <c r="G23" s="653"/>
      <c r="H23" s="381" t="s">
        <v>9</v>
      </c>
      <c r="I23" s="381" t="s">
        <v>10</v>
      </c>
      <c r="J23" s="653"/>
      <c r="K23" s="632"/>
      <c r="L23" s="632"/>
      <c r="M23" s="382" t="s">
        <v>753</v>
      </c>
      <c r="N23" s="383" t="s">
        <v>754</v>
      </c>
    </row>
    <row r="24" spans="1:14" ht="21" customHeight="1">
      <c r="A24" s="15"/>
      <c r="B24" s="35" t="s">
        <v>20</v>
      </c>
      <c r="C24" s="15">
        <v>16</v>
      </c>
      <c r="D24" s="328" t="s">
        <v>579</v>
      </c>
      <c r="E24" s="19">
        <v>213</v>
      </c>
      <c r="F24" s="44">
        <v>0.6</v>
      </c>
      <c r="G24" s="18"/>
      <c r="H24" s="15">
        <v>200</v>
      </c>
      <c r="I24" s="15">
        <v>1</v>
      </c>
      <c r="J24" s="47">
        <v>20.5</v>
      </c>
      <c r="K24" s="47">
        <v>2.8</v>
      </c>
      <c r="L24" s="47">
        <f t="shared" si="1"/>
        <v>23.3</v>
      </c>
      <c r="M24" s="444">
        <v>1</v>
      </c>
      <c r="N24" s="444">
        <f t="shared" ref="N24:N29" si="2">M24*34.12</f>
        <v>34.119999999999997</v>
      </c>
    </row>
    <row r="25" spans="1:14" ht="21" customHeight="1">
      <c r="A25" s="22"/>
      <c r="B25" s="54" t="s">
        <v>839</v>
      </c>
      <c r="C25" s="22">
        <v>17</v>
      </c>
      <c r="D25" s="58" t="s">
        <v>580</v>
      </c>
      <c r="E25" s="22">
        <v>61</v>
      </c>
      <c r="F25" s="45">
        <v>0.61</v>
      </c>
      <c r="G25" s="24"/>
      <c r="H25" s="22">
        <v>100</v>
      </c>
      <c r="I25" s="22">
        <v>1</v>
      </c>
      <c r="J25" s="48">
        <v>19</v>
      </c>
      <c r="K25" s="48">
        <v>2.8</v>
      </c>
      <c r="L25" s="48">
        <f t="shared" si="1"/>
        <v>21.8</v>
      </c>
      <c r="M25" s="445">
        <v>0.76</v>
      </c>
      <c r="N25" s="445">
        <f t="shared" si="2"/>
        <v>25.931199999999997</v>
      </c>
    </row>
    <row r="26" spans="1:14" ht="21" customHeight="1">
      <c r="A26" s="22"/>
      <c r="B26" s="22"/>
      <c r="C26" s="22">
        <v>18</v>
      </c>
      <c r="D26" s="58" t="s">
        <v>581</v>
      </c>
      <c r="E26" s="22">
        <v>93</v>
      </c>
      <c r="F26" s="45">
        <v>0.68</v>
      </c>
      <c r="G26" s="24"/>
      <c r="H26" s="22">
        <v>100</v>
      </c>
      <c r="I26" s="22">
        <v>1</v>
      </c>
      <c r="J26" s="48">
        <v>20.5</v>
      </c>
      <c r="K26" s="48">
        <v>3.1</v>
      </c>
      <c r="L26" s="48">
        <f t="shared" si="1"/>
        <v>23.6</v>
      </c>
      <c r="M26" s="445">
        <v>0.76</v>
      </c>
      <c r="N26" s="445">
        <f t="shared" si="2"/>
        <v>25.931199999999997</v>
      </c>
    </row>
    <row r="27" spans="1:14" ht="21" customHeight="1">
      <c r="A27" s="22"/>
      <c r="B27" s="22"/>
      <c r="C27" s="22">
        <v>19</v>
      </c>
      <c r="D27" s="58" t="s">
        <v>582</v>
      </c>
      <c r="E27" s="22">
        <v>96</v>
      </c>
      <c r="F27" s="45">
        <v>1.06</v>
      </c>
      <c r="G27" s="24"/>
      <c r="H27" s="22">
        <v>100</v>
      </c>
      <c r="I27" s="22">
        <v>1</v>
      </c>
      <c r="J27" s="48">
        <v>26.5</v>
      </c>
      <c r="K27" s="48">
        <v>4.3</v>
      </c>
      <c r="L27" s="48">
        <f t="shared" si="1"/>
        <v>30.8</v>
      </c>
      <c r="M27" s="445">
        <v>0.76</v>
      </c>
      <c r="N27" s="445">
        <f t="shared" si="2"/>
        <v>25.931199999999997</v>
      </c>
    </row>
    <row r="28" spans="1:14" ht="21" customHeight="1">
      <c r="A28" s="22"/>
      <c r="B28" s="22"/>
      <c r="C28" s="22">
        <v>20</v>
      </c>
      <c r="D28" s="58" t="s">
        <v>583</v>
      </c>
      <c r="E28" s="22">
        <v>79</v>
      </c>
      <c r="F28" s="45">
        <v>0.94</v>
      </c>
      <c r="G28" s="24"/>
      <c r="H28" s="281">
        <v>100</v>
      </c>
      <c r="I28" s="22">
        <v>1</v>
      </c>
      <c r="J28" s="48">
        <v>23.5</v>
      </c>
      <c r="K28" s="48">
        <v>3.7</v>
      </c>
      <c r="L28" s="48">
        <f t="shared" si="1"/>
        <v>27.2</v>
      </c>
      <c r="M28" s="445">
        <v>0.76</v>
      </c>
      <c r="N28" s="445">
        <f t="shared" si="2"/>
        <v>25.931199999999997</v>
      </c>
    </row>
    <row r="29" spans="1:14" ht="21" customHeight="1">
      <c r="A29" s="22"/>
      <c r="B29" s="22"/>
      <c r="C29" s="22">
        <v>21</v>
      </c>
      <c r="D29" s="58" t="s">
        <v>584</v>
      </c>
      <c r="E29" s="22">
        <v>131</v>
      </c>
      <c r="F29" s="45">
        <v>1.9</v>
      </c>
      <c r="G29" s="24"/>
      <c r="H29" s="281">
        <v>200</v>
      </c>
      <c r="I29" s="22">
        <v>1</v>
      </c>
      <c r="J29" s="48">
        <v>40</v>
      </c>
      <c r="K29" s="48">
        <v>6.7</v>
      </c>
      <c r="L29" s="48">
        <f t="shared" si="1"/>
        <v>46.7</v>
      </c>
      <c r="M29" s="445">
        <v>1</v>
      </c>
      <c r="N29" s="445">
        <f t="shared" si="2"/>
        <v>34.119999999999997</v>
      </c>
    </row>
    <row r="30" spans="1:14" ht="21" customHeight="1">
      <c r="A30" s="22"/>
      <c r="B30" s="22"/>
      <c r="C30" s="22">
        <v>22</v>
      </c>
      <c r="D30" s="58" t="s">
        <v>585</v>
      </c>
      <c r="E30" s="22">
        <v>77</v>
      </c>
      <c r="F30" s="45">
        <v>2</v>
      </c>
      <c r="G30" s="24"/>
      <c r="H30" s="281">
        <v>100</v>
      </c>
      <c r="I30" s="22">
        <v>1</v>
      </c>
      <c r="J30" s="48">
        <v>40</v>
      </c>
      <c r="K30" s="48">
        <v>7</v>
      </c>
      <c r="L30" s="48">
        <f t="shared" si="1"/>
        <v>47</v>
      </c>
      <c r="M30" s="445">
        <v>0.76</v>
      </c>
      <c r="N30" s="445">
        <f t="shared" ref="N30:N39" si="3">M30*34.12</f>
        <v>25.931199999999997</v>
      </c>
    </row>
    <row r="31" spans="1:14" ht="21" customHeight="1">
      <c r="A31" s="22"/>
      <c r="B31" s="22"/>
      <c r="C31" s="22">
        <v>23</v>
      </c>
      <c r="D31" s="58" t="s">
        <v>586</v>
      </c>
      <c r="E31" s="22">
        <v>63</v>
      </c>
      <c r="F31" s="45">
        <v>2</v>
      </c>
      <c r="G31" s="24"/>
      <c r="H31" s="281">
        <v>100</v>
      </c>
      <c r="I31" s="22">
        <v>1</v>
      </c>
      <c r="J31" s="48">
        <v>40</v>
      </c>
      <c r="K31" s="48">
        <v>7</v>
      </c>
      <c r="L31" s="48">
        <f t="shared" si="1"/>
        <v>47</v>
      </c>
      <c r="M31" s="445">
        <v>0.76</v>
      </c>
      <c r="N31" s="445">
        <f t="shared" si="3"/>
        <v>25.931199999999997</v>
      </c>
    </row>
    <row r="32" spans="1:14" ht="21" customHeight="1">
      <c r="A32" s="22"/>
      <c r="B32" s="22"/>
      <c r="C32" s="22">
        <v>24</v>
      </c>
      <c r="D32" s="58" t="s">
        <v>587</v>
      </c>
      <c r="E32" s="22">
        <v>164</v>
      </c>
      <c r="F32" s="45">
        <v>2</v>
      </c>
      <c r="G32" s="24"/>
      <c r="H32" s="281">
        <v>200</v>
      </c>
      <c r="I32" s="22">
        <v>1</v>
      </c>
      <c r="J32" s="48">
        <v>41.5</v>
      </c>
      <c r="K32" s="48">
        <v>7</v>
      </c>
      <c r="L32" s="48">
        <f t="shared" si="1"/>
        <v>48.5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25</v>
      </c>
      <c r="D33" s="58" t="s">
        <v>259</v>
      </c>
      <c r="E33" s="22">
        <v>66</v>
      </c>
      <c r="F33" s="45">
        <v>2</v>
      </c>
      <c r="G33" s="24"/>
      <c r="H33" s="281">
        <v>100</v>
      </c>
      <c r="I33" s="22">
        <v>1</v>
      </c>
      <c r="J33" s="48">
        <v>40</v>
      </c>
      <c r="K33" s="48">
        <v>7</v>
      </c>
      <c r="L33" s="48">
        <f t="shared" si="1"/>
        <v>47</v>
      </c>
      <c r="M33" s="445">
        <v>0.76</v>
      </c>
      <c r="N33" s="445">
        <f t="shared" si="3"/>
        <v>25.931199999999997</v>
      </c>
    </row>
    <row r="34" spans="1:14" ht="21" customHeight="1">
      <c r="A34" s="22"/>
      <c r="B34" s="22"/>
      <c r="C34" s="22">
        <v>26</v>
      </c>
      <c r="D34" s="58" t="s">
        <v>588</v>
      </c>
      <c r="E34" s="22">
        <v>85</v>
      </c>
      <c r="F34" s="45">
        <v>2</v>
      </c>
      <c r="G34" s="24"/>
      <c r="H34" s="281">
        <v>100</v>
      </c>
      <c r="I34" s="22">
        <v>1</v>
      </c>
      <c r="J34" s="48">
        <v>40</v>
      </c>
      <c r="K34" s="48">
        <v>7</v>
      </c>
      <c r="L34" s="48">
        <f t="shared" si="1"/>
        <v>47</v>
      </c>
      <c r="M34" s="445">
        <v>0.76</v>
      </c>
      <c r="N34" s="445">
        <f t="shared" si="3"/>
        <v>25.931199999999997</v>
      </c>
    </row>
    <row r="35" spans="1:14" ht="21" customHeight="1">
      <c r="A35" s="22"/>
      <c r="B35" s="22"/>
      <c r="C35" s="22">
        <v>27</v>
      </c>
      <c r="D35" s="58" t="s">
        <v>589</v>
      </c>
      <c r="E35" s="22">
        <v>75</v>
      </c>
      <c r="F35" s="45">
        <v>2</v>
      </c>
      <c r="G35" s="24"/>
      <c r="H35" s="281">
        <v>100</v>
      </c>
      <c r="I35" s="22">
        <v>1</v>
      </c>
      <c r="J35" s="48">
        <v>40</v>
      </c>
      <c r="K35" s="48">
        <v>7</v>
      </c>
      <c r="L35" s="48">
        <f t="shared" si="1"/>
        <v>47</v>
      </c>
      <c r="M35" s="445">
        <v>0.76</v>
      </c>
      <c r="N35" s="445">
        <f t="shared" si="3"/>
        <v>25.931199999999997</v>
      </c>
    </row>
    <row r="36" spans="1:14" ht="21" customHeight="1">
      <c r="A36" s="22"/>
      <c r="B36" s="22"/>
      <c r="C36" s="22">
        <v>28</v>
      </c>
      <c r="D36" s="58" t="s">
        <v>590</v>
      </c>
      <c r="E36" s="22">
        <v>91</v>
      </c>
      <c r="F36" s="45">
        <v>2</v>
      </c>
      <c r="G36" s="24"/>
      <c r="H36" s="281">
        <v>100</v>
      </c>
      <c r="I36" s="22">
        <v>1</v>
      </c>
      <c r="J36" s="48">
        <v>40</v>
      </c>
      <c r="K36" s="48">
        <v>7</v>
      </c>
      <c r="L36" s="48">
        <f t="shared" si="1"/>
        <v>47</v>
      </c>
      <c r="M36" s="445">
        <v>0.76</v>
      </c>
      <c r="N36" s="445">
        <f t="shared" si="3"/>
        <v>25.931199999999997</v>
      </c>
    </row>
    <row r="37" spans="1:14" ht="21" customHeight="1">
      <c r="A37" s="22"/>
      <c r="B37" s="22"/>
      <c r="C37" s="22">
        <v>29</v>
      </c>
      <c r="D37" s="58" t="s">
        <v>591</v>
      </c>
      <c r="E37" s="22">
        <v>99</v>
      </c>
      <c r="F37" s="45">
        <v>1.98</v>
      </c>
      <c r="G37" s="24"/>
      <c r="H37" s="281">
        <v>100</v>
      </c>
      <c r="I37" s="22">
        <v>1</v>
      </c>
      <c r="J37" s="48">
        <v>40</v>
      </c>
      <c r="K37" s="48">
        <v>7</v>
      </c>
      <c r="L37" s="48">
        <f t="shared" si="1"/>
        <v>47</v>
      </c>
      <c r="M37" s="445">
        <v>0.76</v>
      </c>
      <c r="N37" s="445">
        <f t="shared" si="3"/>
        <v>25.931199999999997</v>
      </c>
    </row>
    <row r="38" spans="1:14" ht="21" customHeight="1">
      <c r="A38" s="22"/>
      <c r="B38" s="22"/>
      <c r="C38" s="22">
        <v>30</v>
      </c>
      <c r="D38" s="329" t="s">
        <v>592</v>
      </c>
      <c r="E38" s="25">
        <v>26</v>
      </c>
      <c r="F38" s="45">
        <v>1.83</v>
      </c>
      <c r="G38" s="24"/>
      <c r="H38" s="22">
        <v>50</v>
      </c>
      <c r="I38" s="22">
        <v>1</v>
      </c>
      <c r="J38" s="48">
        <v>36</v>
      </c>
      <c r="K38" s="48">
        <v>6.4</v>
      </c>
      <c r="L38" s="48">
        <f t="shared" si="1"/>
        <v>42.4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31</v>
      </c>
      <c r="D39" s="58" t="s">
        <v>489</v>
      </c>
      <c r="E39" s="22">
        <v>148</v>
      </c>
      <c r="F39" s="45">
        <v>2</v>
      </c>
      <c r="G39" s="24"/>
      <c r="H39" s="22">
        <v>200</v>
      </c>
      <c r="I39" s="22">
        <v>1</v>
      </c>
      <c r="J39" s="48">
        <v>41.5</v>
      </c>
      <c r="K39" s="48">
        <v>7</v>
      </c>
      <c r="L39" s="48">
        <f t="shared" si="1"/>
        <v>48.5</v>
      </c>
      <c r="M39" s="445">
        <v>1</v>
      </c>
      <c r="N39" s="445">
        <f t="shared" si="3"/>
        <v>34.119999999999997</v>
      </c>
    </row>
    <row r="40" spans="1:14" ht="21" customHeight="1">
      <c r="A40" s="29"/>
      <c r="B40" s="29"/>
      <c r="C40" s="29"/>
      <c r="D40" s="308"/>
      <c r="E40" s="29"/>
      <c r="F40" s="29"/>
      <c r="G40" s="31"/>
      <c r="H40" s="29"/>
      <c r="I40" s="29"/>
      <c r="J40" s="49"/>
      <c r="K40" s="49"/>
      <c r="L40" s="49"/>
      <c r="M40" s="446"/>
      <c r="N40" s="446"/>
    </row>
    <row r="41" spans="1:14" s="5" customFormat="1" ht="27.75" customHeight="1">
      <c r="A41" s="654" t="s">
        <v>1</v>
      </c>
      <c r="B41" s="632" t="s">
        <v>755</v>
      </c>
      <c r="C41" s="646" t="s">
        <v>21</v>
      </c>
      <c r="D41" s="647"/>
      <c r="E41" s="652" t="s">
        <v>756</v>
      </c>
      <c r="F41" s="654" t="s">
        <v>3</v>
      </c>
      <c r="G41" s="654"/>
      <c r="H41" s="654"/>
      <c r="I41" s="654"/>
      <c r="J41" s="654" t="s">
        <v>761</v>
      </c>
      <c r="K41" s="654"/>
      <c r="L41" s="654"/>
      <c r="M41" s="755" t="s">
        <v>752</v>
      </c>
      <c r="N41" s="755"/>
    </row>
    <row r="42" spans="1:14" s="5" customFormat="1" ht="40.5" customHeight="1">
      <c r="A42" s="654"/>
      <c r="B42" s="633"/>
      <c r="C42" s="648"/>
      <c r="D42" s="649"/>
      <c r="E42" s="652"/>
      <c r="F42" s="652" t="s">
        <v>757</v>
      </c>
      <c r="G42" s="652" t="s">
        <v>5</v>
      </c>
      <c r="H42" s="652" t="s">
        <v>6</v>
      </c>
      <c r="I42" s="652"/>
      <c r="J42" s="652" t="s">
        <v>22</v>
      </c>
      <c r="K42" s="652" t="s">
        <v>762</v>
      </c>
      <c r="L42" s="654" t="s">
        <v>8</v>
      </c>
      <c r="M42" s="755"/>
      <c r="N42" s="755"/>
    </row>
    <row r="43" spans="1:14" s="5" customFormat="1" ht="58.5" customHeight="1">
      <c r="A43" s="632"/>
      <c r="B43" s="634"/>
      <c r="C43" s="650"/>
      <c r="D43" s="651"/>
      <c r="E43" s="653"/>
      <c r="F43" s="653"/>
      <c r="G43" s="653"/>
      <c r="H43" s="381" t="s">
        <v>9</v>
      </c>
      <c r="I43" s="381" t="s">
        <v>10</v>
      </c>
      <c r="J43" s="653"/>
      <c r="K43" s="632"/>
      <c r="L43" s="632"/>
      <c r="M43" s="382" t="s">
        <v>753</v>
      </c>
      <c r="N43" s="383" t="s">
        <v>754</v>
      </c>
    </row>
    <row r="44" spans="1:14" ht="21" customHeight="1">
      <c r="A44" s="15"/>
      <c r="B44" s="35" t="s">
        <v>20</v>
      </c>
      <c r="C44" s="15">
        <v>32</v>
      </c>
      <c r="D44" s="35" t="s">
        <v>593</v>
      </c>
      <c r="E44" s="15">
        <v>18</v>
      </c>
      <c r="F44" s="44">
        <v>0.9</v>
      </c>
      <c r="G44" s="18"/>
      <c r="H44" s="15">
        <v>50</v>
      </c>
      <c r="I44" s="15">
        <v>1</v>
      </c>
      <c r="J44" s="47">
        <v>22.5</v>
      </c>
      <c r="K44" s="47">
        <v>3.7</v>
      </c>
      <c r="L44" s="47">
        <f t="shared" si="1"/>
        <v>26.2</v>
      </c>
      <c r="M44" s="444">
        <v>0.56999999999999995</v>
      </c>
      <c r="N44" s="444">
        <f t="shared" ref="N44:N56" si="4">M44*34.12</f>
        <v>19.448399999999996</v>
      </c>
    </row>
    <row r="45" spans="1:14" ht="21" customHeight="1">
      <c r="A45" s="22"/>
      <c r="B45" s="54" t="s">
        <v>839</v>
      </c>
      <c r="C45" s="22">
        <v>33</v>
      </c>
      <c r="D45" s="58" t="s">
        <v>594</v>
      </c>
      <c r="E45" s="22">
        <v>136</v>
      </c>
      <c r="F45" s="45">
        <v>2</v>
      </c>
      <c r="G45" s="24"/>
      <c r="H45" s="281">
        <v>100</v>
      </c>
      <c r="I45" s="22">
        <v>1</v>
      </c>
      <c r="J45" s="48">
        <v>40</v>
      </c>
      <c r="K45" s="48">
        <v>7</v>
      </c>
      <c r="L45" s="48">
        <f t="shared" si="1"/>
        <v>47</v>
      </c>
      <c r="M45" s="445">
        <v>0.76</v>
      </c>
      <c r="N45" s="445">
        <f t="shared" si="4"/>
        <v>25.931199999999997</v>
      </c>
    </row>
    <row r="46" spans="1:14" ht="21" customHeight="1">
      <c r="A46" s="22"/>
      <c r="B46" s="22"/>
      <c r="C46" s="22">
        <v>34</v>
      </c>
      <c r="D46" s="58" t="s">
        <v>595</v>
      </c>
      <c r="E46" s="22">
        <v>95</v>
      </c>
      <c r="F46" s="45">
        <f>550/5280</f>
        <v>0.10416666666666667</v>
      </c>
      <c r="G46" s="24"/>
      <c r="H46" s="22">
        <v>100</v>
      </c>
      <c r="I46" s="22">
        <v>1</v>
      </c>
      <c r="J46" s="48">
        <v>11.5</v>
      </c>
      <c r="K46" s="48">
        <v>1.3</v>
      </c>
      <c r="L46" s="48">
        <f t="shared" si="1"/>
        <v>12.8</v>
      </c>
      <c r="M46" s="445">
        <v>0.76</v>
      </c>
      <c r="N46" s="445">
        <f t="shared" si="4"/>
        <v>25.931199999999997</v>
      </c>
    </row>
    <row r="47" spans="1:14" ht="21" customHeight="1">
      <c r="A47" s="22"/>
      <c r="B47" s="22"/>
      <c r="C47" s="22">
        <v>35</v>
      </c>
      <c r="D47" s="58" t="s">
        <v>275</v>
      </c>
      <c r="E47" s="22">
        <v>107</v>
      </c>
      <c r="F47" s="45">
        <v>2</v>
      </c>
      <c r="G47" s="24"/>
      <c r="H47" s="22">
        <v>200</v>
      </c>
      <c r="I47" s="22">
        <v>1</v>
      </c>
      <c r="J47" s="48">
        <v>41.5</v>
      </c>
      <c r="K47" s="48">
        <v>7</v>
      </c>
      <c r="L47" s="48">
        <f t="shared" si="1"/>
        <v>48.5</v>
      </c>
      <c r="M47" s="445">
        <v>1</v>
      </c>
      <c r="N47" s="445">
        <f t="shared" si="4"/>
        <v>34.119999999999997</v>
      </c>
    </row>
    <row r="48" spans="1:14" ht="21" customHeight="1">
      <c r="A48" s="22"/>
      <c r="B48" s="22"/>
      <c r="C48" s="22">
        <v>36</v>
      </c>
      <c r="D48" s="329" t="s">
        <v>596</v>
      </c>
      <c r="E48" s="25">
        <v>44</v>
      </c>
      <c r="F48" s="45">
        <v>2</v>
      </c>
      <c r="G48" s="24"/>
      <c r="H48" s="22">
        <v>100</v>
      </c>
      <c r="I48" s="22">
        <v>1</v>
      </c>
      <c r="J48" s="48">
        <v>40</v>
      </c>
      <c r="K48" s="48">
        <v>7</v>
      </c>
      <c r="L48" s="48">
        <f t="shared" si="1"/>
        <v>47</v>
      </c>
      <c r="M48" s="445">
        <v>0.76</v>
      </c>
      <c r="N48" s="445">
        <f t="shared" si="4"/>
        <v>25.931199999999997</v>
      </c>
    </row>
    <row r="49" spans="1:14" ht="21" customHeight="1">
      <c r="A49" s="22"/>
      <c r="B49" s="22"/>
      <c r="C49" s="22">
        <v>37</v>
      </c>
      <c r="D49" s="58" t="s">
        <v>597</v>
      </c>
      <c r="E49" s="22">
        <v>74</v>
      </c>
      <c r="F49" s="45">
        <v>2</v>
      </c>
      <c r="G49" s="24"/>
      <c r="H49" s="22">
        <v>100</v>
      </c>
      <c r="I49" s="22">
        <v>1</v>
      </c>
      <c r="J49" s="48">
        <v>40</v>
      </c>
      <c r="K49" s="48">
        <v>7</v>
      </c>
      <c r="L49" s="48">
        <f t="shared" si="1"/>
        <v>47</v>
      </c>
      <c r="M49" s="445">
        <v>0.76</v>
      </c>
      <c r="N49" s="445">
        <f t="shared" si="4"/>
        <v>25.931199999999997</v>
      </c>
    </row>
    <row r="50" spans="1:14" ht="21" customHeight="1">
      <c r="A50" s="22"/>
      <c r="B50" s="22"/>
      <c r="C50" s="22">
        <v>38</v>
      </c>
      <c r="D50" s="331" t="s">
        <v>598</v>
      </c>
      <c r="E50" s="22">
        <v>70</v>
      </c>
      <c r="F50" s="45">
        <f>2100/5280</f>
        <v>0.39772727272727271</v>
      </c>
      <c r="G50" s="24"/>
      <c r="H50" s="22">
        <v>100</v>
      </c>
      <c r="I50" s="22">
        <v>1</v>
      </c>
      <c r="J50" s="48">
        <v>16</v>
      </c>
      <c r="K50" s="48">
        <v>2.2000000000000002</v>
      </c>
      <c r="L50" s="48">
        <f t="shared" si="1"/>
        <v>18.2</v>
      </c>
      <c r="M50" s="445">
        <v>0.76</v>
      </c>
      <c r="N50" s="445">
        <f t="shared" si="4"/>
        <v>25.931199999999997</v>
      </c>
    </row>
    <row r="51" spans="1:14" ht="21" customHeight="1">
      <c r="A51" s="22"/>
      <c r="B51" s="22"/>
      <c r="C51" s="22">
        <v>39</v>
      </c>
      <c r="D51" s="58" t="s">
        <v>599</v>
      </c>
      <c r="E51" s="22">
        <v>82</v>
      </c>
      <c r="F51" s="45">
        <f>8000/5280</f>
        <v>1.5151515151515151</v>
      </c>
      <c r="G51" s="24"/>
      <c r="H51" s="22">
        <v>100</v>
      </c>
      <c r="I51" s="22">
        <v>1</v>
      </c>
      <c r="J51" s="48">
        <v>32.5</v>
      </c>
      <c r="K51" s="48">
        <v>5.5</v>
      </c>
      <c r="L51" s="48">
        <f t="shared" si="1"/>
        <v>38</v>
      </c>
      <c r="M51" s="445">
        <v>0.76</v>
      </c>
      <c r="N51" s="445">
        <f t="shared" si="4"/>
        <v>25.931199999999997</v>
      </c>
    </row>
    <row r="52" spans="1:14" ht="21" customHeight="1">
      <c r="A52" s="22"/>
      <c r="B52" s="22"/>
      <c r="C52" s="22">
        <v>40</v>
      </c>
      <c r="D52" s="58" t="s">
        <v>600</v>
      </c>
      <c r="E52" s="22">
        <v>37</v>
      </c>
      <c r="F52" s="45">
        <f>5000/5280</f>
        <v>0.94696969696969702</v>
      </c>
      <c r="G52" s="24"/>
      <c r="H52" s="22">
        <v>50</v>
      </c>
      <c r="I52" s="22">
        <v>1</v>
      </c>
      <c r="J52" s="48">
        <v>22.5</v>
      </c>
      <c r="K52" s="48">
        <v>3.7</v>
      </c>
      <c r="L52" s="48">
        <f t="shared" si="1"/>
        <v>26.2</v>
      </c>
      <c r="M52" s="445">
        <v>0.56999999999999995</v>
      </c>
      <c r="N52" s="445">
        <f t="shared" si="4"/>
        <v>19.448399999999996</v>
      </c>
    </row>
    <row r="53" spans="1:14" ht="21" customHeight="1">
      <c r="A53" s="22"/>
      <c r="B53" s="22"/>
      <c r="C53" s="22">
        <v>41</v>
      </c>
      <c r="D53" s="58" t="s">
        <v>91</v>
      </c>
      <c r="E53" s="22">
        <v>29</v>
      </c>
      <c r="F53" s="45">
        <f>3000/5280</f>
        <v>0.56818181818181823</v>
      </c>
      <c r="G53" s="24"/>
      <c r="H53" s="22">
        <v>50</v>
      </c>
      <c r="I53" s="22">
        <v>1</v>
      </c>
      <c r="J53" s="48">
        <v>18</v>
      </c>
      <c r="K53" s="48">
        <v>2.8</v>
      </c>
      <c r="L53" s="48">
        <f t="shared" si="1"/>
        <v>20.8</v>
      </c>
      <c r="M53" s="445">
        <v>0.56999999999999995</v>
      </c>
      <c r="N53" s="445">
        <f t="shared" si="4"/>
        <v>19.448399999999996</v>
      </c>
    </row>
    <row r="54" spans="1:14" ht="21" customHeight="1">
      <c r="A54" s="22"/>
      <c r="B54" s="22"/>
      <c r="C54" s="22">
        <v>42</v>
      </c>
      <c r="D54" s="58" t="s">
        <v>601</v>
      </c>
      <c r="E54" s="22">
        <v>20</v>
      </c>
      <c r="F54" s="45">
        <f>1800/5280</f>
        <v>0.34090909090909088</v>
      </c>
      <c r="G54" s="24"/>
      <c r="H54" s="22">
        <v>50</v>
      </c>
      <c r="I54" s="22">
        <v>1</v>
      </c>
      <c r="J54" s="48">
        <v>13.5</v>
      </c>
      <c r="K54" s="48">
        <v>1.9</v>
      </c>
      <c r="L54" s="48">
        <f t="shared" si="1"/>
        <v>15.4</v>
      </c>
      <c r="M54" s="445">
        <v>0.56999999999999995</v>
      </c>
      <c r="N54" s="445">
        <f t="shared" si="4"/>
        <v>19.448399999999996</v>
      </c>
    </row>
    <row r="55" spans="1:14" ht="21" customHeight="1">
      <c r="A55" s="22"/>
      <c r="B55" s="22"/>
      <c r="C55" s="22">
        <v>43</v>
      </c>
      <c r="D55" s="58" t="s">
        <v>602</v>
      </c>
      <c r="E55" s="22">
        <v>170</v>
      </c>
      <c r="F55" s="45">
        <f>8530/5280</f>
        <v>1.615530303030303</v>
      </c>
      <c r="G55" s="24"/>
      <c r="H55" s="22">
        <v>200</v>
      </c>
      <c r="I55" s="22">
        <v>1</v>
      </c>
      <c r="J55" s="48">
        <v>35.5</v>
      </c>
      <c r="K55" s="48">
        <v>5.8</v>
      </c>
      <c r="L55" s="48">
        <f t="shared" si="1"/>
        <v>41.3</v>
      </c>
      <c r="M55" s="445">
        <v>1</v>
      </c>
      <c r="N55" s="445">
        <f t="shared" si="4"/>
        <v>34.119999999999997</v>
      </c>
    </row>
    <row r="56" spans="1:14" ht="21" customHeight="1">
      <c r="A56" s="29"/>
      <c r="B56" s="29"/>
      <c r="C56" s="29">
        <v>44</v>
      </c>
      <c r="D56" s="308" t="s">
        <v>547</v>
      </c>
      <c r="E56" s="29">
        <v>120</v>
      </c>
      <c r="F56" s="46">
        <f>320/5280</f>
        <v>6.0606060606060608E-2</v>
      </c>
      <c r="G56" s="31"/>
      <c r="H56" s="29">
        <v>200</v>
      </c>
      <c r="I56" s="29">
        <v>1</v>
      </c>
      <c r="J56" s="49">
        <v>13</v>
      </c>
      <c r="K56" s="49">
        <v>1.3</v>
      </c>
      <c r="L56" s="49">
        <f t="shared" si="1"/>
        <v>14.3</v>
      </c>
      <c r="M56" s="446">
        <v>1</v>
      </c>
      <c r="N56" s="446">
        <f t="shared" si="4"/>
        <v>34.119999999999997</v>
      </c>
    </row>
    <row r="57" spans="1:14" s="5" customFormat="1" ht="27.75" customHeight="1">
      <c r="A57" s="654" t="s">
        <v>1</v>
      </c>
      <c r="B57" s="632" t="s">
        <v>755</v>
      </c>
      <c r="C57" s="646" t="s">
        <v>21</v>
      </c>
      <c r="D57" s="647"/>
      <c r="E57" s="652" t="s">
        <v>756</v>
      </c>
      <c r="F57" s="654" t="s">
        <v>3</v>
      </c>
      <c r="G57" s="654"/>
      <c r="H57" s="654"/>
      <c r="I57" s="654"/>
      <c r="J57" s="654" t="s">
        <v>761</v>
      </c>
      <c r="K57" s="654"/>
      <c r="L57" s="654"/>
      <c r="M57" s="755" t="s">
        <v>752</v>
      </c>
      <c r="N57" s="755"/>
    </row>
    <row r="58" spans="1:14" s="5" customFormat="1" ht="40.5" customHeight="1">
      <c r="A58" s="654"/>
      <c r="B58" s="633"/>
      <c r="C58" s="648"/>
      <c r="D58" s="649"/>
      <c r="E58" s="652"/>
      <c r="F58" s="652" t="s">
        <v>757</v>
      </c>
      <c r="G58" s="652" t="s">
        <v>5</v>
      </c>
      <c r="H58" s="652" t="s">
        <v>6</v>
      </c>
      <c r="I58" s="652"/>
      <c r="J58" s="652" t="s">
        <v>22</v>
      </c>
      <c r="K58" s="652" t="s">
        <v>762</v>
      </c>
      <c r="L58" s="654" t="s">
        <v>8</v>
      </c>
      <c r="M58" s="755"/>
      <c r="N58" s="755"/>
    </row>
    <row r="59" spans="1:14" s="5" customFormat="1" ht="58.5" customHeight="1">
      <c r="A59" s="632"/>
      <c r="B59" s="634"/>
      <c r="C59" s="650"/>
      <c r="D59" s="651"/>
      <c r="E59" s="653"/>
      <c r="F59" s="653"/>
      <c r="G59" s="653"/>
      <c r="H59" s="381" t="s">
        <v>9</v>
      </c>
      <c r="I59" s="381" t="s">
        <v>10</v>
      </c>
      <c r="J59" s="653"/>
      <c r="K59" s="632"/>
      <c r="L59" s="632"/>
      <c r="M59" s="382" t="s">
        <v>753</v>
      </c>
      <c r="N59" s="383" t="s">
        <v>754</v>
      </c>
    </row>
    <row r="60" spans="1:14" ht="21.95" customHeight="1">
      <c r="A60" s="15"/>
      <c r="B60" s="35" t="s">
        <v>20</v>
      </c>
      <c r="C60" s="15">
        <v>45</v>
      </c>
      <c r="D60" s="301" t="s">
        <v>603</v>
      </c>
      <c r="E60" s="15">
        <v>205</v>
      </c>
      <c r="F60" s="756">
        <f>7720/5280</f>
        <v>1.4621212121212122</v>
      </c>
      <c r="G60" s="18"/>
      <c r="H60" s="52">
        <v>100</v>
      </c>
      <c r="I60" s="15">
        <v>1</v>
      </c>
      <c r="J60" s="757">
        <v>39.5</v>
      </c>
      <c r="K60" s="757">
        <v>6.5</v>
      </c>
      <c r="L60" s="757">
        <f>J60+K60</f>
        <v>46</v>
      </c>
      <c r="M60" s="444">
        <v>0.76</v>
      </c>
      <c r="N60" s="444">
        <f t="shared" ref="N60" si="5">M60*34.12</f>
        <v>25.931199999999997</v>
      </c>
    </row>
    <row r="61" spans="1:14" ht="21.95" customHeight="1">
      <c r="A61" s="22"/>
      <c r="B61" s="54" t="s">
        <v>839</v>
      </c>
      <c r="C61" s="22">
        <v>46</v>
      </c>
      <c r="D61" s="58" t="s">
        <v>604</v>
      </c>
      <c r="E61" s="22">
        <v>24</v>
      </c>
      <c r="F61" s="739"/>
      <c r="G61" s="24"/>
      <c r="H61" s="690">
        <v>50</v>
      </c>
      <c r="I61" s="690">
        <v>1</v>
      </c>
      <c r="J61" s="736"/>
      <c r="K61" s="736"/>
      <c r="L61" s="736"/>
      <c r="M61" s="744">
        <v>0.56999999999999995</v>
      </c>
      <c r="N61" s="744">
        <f>M61*34.12</f>
        <v>19.448399999999996</v>
      </c>
    </row>
    <row r="62" spans="1:14" ht="21.95" customHeight="1">
      <c r="A62" s="22"/>
      <c r="B62" s="22"/>
      <c r="C62" s="22"/>
      <c r="D62" s="58"/>
      <c r="E62" s="22"/>
      <c r="F62" s="739"/>
      <c r="G62" s="24"/>
      <c r="H62" s="690"/>
      <c r="I62" s="690"/>
      <c r="J62" s="736"/>
      <c r="K62" s="736"/>
      <c r="L62" s="736"/>
      <c r="M62" s="744"/>
      <c r="N62" s="744"/>
    </row>
    <row r="63" spans="1:14" ht="21.95" customHeight="1">
      <c r="A63" s="22"/>
      <c r="B63" s="22"/>
      <c r="C63" s="22">
        <v>47</v>
      </c>
      <c r="D63" s="58" t="s">
        <v>605</v>
      </c>
      <c r="E63" s="22">
        <v>30</v>
      </c>
      <c r="F63" s="739"/>
      <c r="G63" s="24"/>
      <c r="H63" s="690"/>
      <c r="I63" s="665"/>
      <c r="J63" s="736"/>
      <c r="K63" s="736"/>
      <c r="L63" s="736"/>
      <c r="M63" s="744"/>
      <c r="N63" s="744"/>
    </row>
    <row r="64" spans="1:14" ht="21.95" customHeight="1">
      <c r="A64" s="22"/>
      <c r="B64" s="22"/>
      <c r="C64" s="22">
        <v>48</v>
      </c>
      <c r="D64" s="58" t="s">
        <v>606</v>
      </c>
      <c r="E64" s="22">
        <v>95</v>
      </c>
      <c r="F64" s="45">
        <f>6900/5280</f>
        <v>1.3068181818181819</v>
      </c>
      <c r="G64" s="24"/>
      <c r="H64" s="22">
        <v>100</v>
      </c>
      <c r="I64" s="22">
        <v>1</v>
      </c>
      <c r="J64" s="48">
        <v>29.5</v>
      </c>
      <c r="K64" s="48">
        <v>4.9000000000000004</v>
      </c>
      <c r="L64" s="48">
        <f t="shared" ref="L64:L84" si="6">J64+K64</f>
        <v>34.4</v>
      </c>
      <c r="M64" s="445">
        <v>0.76</v>
      </c>
      <c r="N64" s="445">
        <f t="shared" ref="N64:N76" si="7">M64*34.12</f>
        <v>25.931199999999997</v>
      </c>
    </row>
    <row r="65" spans="1:14" ht="21.95" customHeight="1">
      <c r="A65" s="22"/>
      <c r="B65" s="22"/>
      <c r="C65" s="22">
        <v>49</v>
      </c>
      <c r="D65" s="58" t="s">
        <v>607</v>
      </c>
      <c r="E65" s="22">
        <v>46</v>
      </c>
      <c r="F65" s="45">
        <f>1800/5280</f>
        <v>0.34090909090909088</v>
      </c>
      <c r="G65" s="24"/>
      <c r="H65" s="22">
        <v>50</v>
      </c>
      <c r="I65" s="22">
        <v>1</v>
      </c>
      <c r="J65" s="48">
        <v>13.5</v>
      </c>
      <c r="K65" s="48">
        <v>1.9</v>
      </c>
      <c r="L65" s="48">
        <f t="shared" si="6"/>
        <v>15.4</v>
      </c>
      <c r="M65" s="445">
        <v>0.56999999999999995</v>
      </c>
      <c r="N65" s="445">
        <f t="shared" si="7"/>
        <v>19.448399999999996</v>
      </c>
    </row>
    <row r="66" spans="1:14" ht="21.95" customHeight="1">
      <c r="A66" s="22"/>
      <c r="B66" s="22"/>
      <c r="C66" s="22">
        <v>50</v>
      </c>
      <c r="D66" s="58" t="s">
        <v>608</v>
      </c>
      <c r="E66" s="22">
        <v>244</v>
      </c>
      <c r="F66" s="45">
        <f>1700/5280</f>
        <v>0.32196969696969696</v>
      </c>
      <c r="G66" s="24"/>
      <c r="H66" s="281">
        <v>200</v>
      </c>
      <c r="I66" s="22">
        <v>1</v>
      </c>
      <c r="J66" s="48">
        <v>16</v>
      </c>
      <c r="K66" s="48">
        <v>1.9</v>
      </c>
      <c r="L66" s="48">
        <f t="shared" si="6"/>
        <v>17.899999999999999</v>
      </c>
      <c r="M66" s="445">
        <v>1</v>
      </c>
      <c r="N66" s="445">
        <f t="shared" si="7"/>
        <v>34.119999999999997</v>
      </c>
    </row>
    <row r="67" spans="1:14" ht="21.95" customHeight="1">
      <c r="A67" s="22"/>
      <c r="B67" s="22"/>
      <c r="C67" s="22">
        <v>51</v>
      </c>
      <c r="D67" s="58" t="s">
        <v>540</v>
      </c>
      <c r="E67" s="22">
        <v>652</v>
      </c>
      <c r="F67" s="45">
        <f>200/5280</f>
        <v>3.787878787878788E-2</v>
      </c>
      <c r="G67" s="24"/>
      <c r="H67" s="281">
        <v>160</v>
      </c>
      <c r="I67" s="22">
        <v>2</v>
      </c>
      <c r="J67" s="48">
        <v>22.6</v>
      </c>
      <c r="K67" s="48">
        <v>2.12</v>
      </c>
      <c r="L67" s="48">
        <f t="shared" si="6"/>
        <v>24.720000000000002</v>
      </c>
      <c r="M67" s="445">
        <v>0.8</v>
      </c>
      <c r="N67" s="445">
        <f t="shared" si="7"/>
        <v>27.295999999999999</v>
      </c>
    </row>
    <row r="68" spans="1:14" ht="21.95" customHeight="1">
      <c r="A68" s="22"/>
      <c r="B68" s="22"/>
      <c r="C68" s="22">
        <v>52</v>
      </c>
      <c r="D68" s="58" t="s">
        <v>609</v>
      </c>
      <c r="E68" s="22">
        <v>220</v>
      </c>
      <c r="F68" s="45">
        <f>100/5280</f>
        <v>1.893939393939394E-2</v>
      </c>
      <c r="G68" s="24"/>
      <c r="H68" s="281">
        <v>200</v>
      </c>
      <c r="I68" s="22">
        <v>1</v>
      </c>
      <c r="J68" s="48">
        <v>11.8</v>
      </c>
      <c r="K68" s="48">
        <v>1.06</v>
      </c>
      <c r="L68" s="48">
        <f t="shared" si="6"/>
        <v>12.860000000000001</v>
      </c>
      <c r="M68" s="445">
        <v>1</v>
      </c>
      <c r="N68" s="445">
        <f t="shared" si="7"/>
        <v>34.119999999999997</v>
      </c>
    </row>
    <row r="69" spans="1:14" ht="21.95" customHeight="1">
      <c r="A69" s="22"/>
      <c r="B69" s="22"/>
      <c r="C69" s="22">
        <v>53</v>
      </c>
      <c r="D69" s="58" t="s">
        <v>610</v>
      </c>
      <c r="E69" s="22">
        <v>96</v>
      </c>
      <c r="F69" s="45">
        <f>6680/5280</f>
        <v>1.2651515151515151</v>
      </c>
      <c r="G69" s="24"/>
      <c r="H69" s="281">
        <v>100</v>
      </c>
      <c r="I69" s="22">
        <v>1</v>
      </c>
      <c r="J69" s="48">
        <v>29.5</v>
      </c>
      <c r="K69" s="48">
        <v>4.9000000000000004</v>
      </c>
      <c r="L69" s="48">
        <f t="shared" si="6"/>
        <v>34.4</v>
      </c>
      <c r="M69" s="445">
        <v>0.76</v>
      </c>
      <c r="N69" s="445">
        <f t="shared" si="7"/>
        <v>25.931199999999997</v>
      </c>
    </row>
    <row r="70" spans="1:14" ht="21.95" customHeight="1">
      <c r="A70" s="22"/>
      <c r="B70" s="22"/>
      <c r="C70" s="22">
        <v>54</v>
      </c>
      <c r="D70" s="58" t="s">
        <v>611</v>
      </c>
      <c r="E70" s="22">
        <v>93</v>
      </c>
      <c r="F70" s="45">
        <f>4200/5280</f>
        <v>0.79545454545454541</v>
      </c>
      <c r="G70" s="24"/>
      <c r="H70" s="281">
        <v>100</v>
      </c>
      <c r="I70" s="22">
        <v>1</v>
      </c>
      <c r="J70" s="48">
        <v>22</v>
      </c>
      <c r="K70" s="48">
        <v>3.4</v>
      </c>
      <c r="L70" s="48">
        <f t="shared" si="6"/>
        <v>25.4</v>
      </c>
      <c r="M70" s="445">
        <v>0.76</v>
      </c>
      <c r="N70" s="445">
        <f t="shared" si="7"/>
        <v>25.931199999999997</v>
      </c>
    </row>
    <row r="71" spans="1:14" ht="21.95" customHeight="1">
      <c r="A71" s="22"/>
      <c r="B71" s="22"/>
      <c r="C71" s="22">
        <v>55</v>
      </c>
      <c r="D71" s="58" t="s">
        <v>397</v>
      </c>
      <c r="E71" s="22">
        <v>43</v>
      </c>
      <c r="F71" s="45">
        <v>1</v>
      </c>
      <c r="G71" s="24"/>
      <c r="H71" s="281">
        <v>50</v>
      </c>
      <c r="I71" s="22">
        <v>1</v>
      </c>
      <c r="J71" s="48">
        <v>24</v>
      </c>
      <c r="K71" s="48">
        <v>4</v>
      </c>
      <c r="L71" s="48">
        <f t="shared" si="6"/>
        <v>28</v>
      </c>
      <c r="M71" s="445">
        <v>0.56999999999999995</v>
      </c>
      <c r="N71" s="445">
        <f t="shared" si="7"/>
        <v>19.448399999999996</v>
      </c>
    </row>
    <row r="72" spans="1:14" ht="21.95" customHeight="1">
      <c r="A72" s="22"/>
      <c r="B72" s="22"/>
      <c r="C72" s="22">
        <v>56</v>
      </c>
      <c r="D72" s="58" t="s">
        <v>612</v>
      </c>
      <c r="E72" s="22">
        <v>288</v>
      </c>
      <c r="F72" s="45">
        <v>0.6</v>
      </c>
      <c r="G72" s="24"/>
      <c r="H72" s="281">
        <v>200</v>
      </c>
      <c r="I72" s="22">
        <v>1</v>
      </c>
      <c r="J72" s="48">
        <v>20.5</v>
      </c>
      <c r="K72" s="48">
        <v>2.8</v>
      </c>
      <c r="L72" s="48">
        <f t="shared" si="6"/>
        <v>23.3</v>
      </c>
      <c r="M72" s="445">
        <v>1</v>
      </c>
      <c r="N72" s="445">
        <f t="shared" si="7"/>
        <v>34.119999999999997</v>
      </c>
    </row>
    <row r="73" spans="1:14" ht="21.95" customHeight="1">
      <c r="A73" s="22"/>
      <c r="B73" s="22"/>
      <c r="C73" s="22">
        <v>57</v>
      </c>
      <c r="D73" s="58" t="s">
        <v>613</v>
      </c>
      <c r="E73" s="22">
        <v>253</v>
      </c>
      <c r="F73" s="45">
        <v>1.2</v>
      </c>
      <c r="G73" s="24"/>
      <c r="H73" s="281">
        <v>200</v>
      </c>
      <c r="I73" s="22">
        <v>1</v>
      </c>
      <c r="J73" s="48">
        <v>29.5</v>
      </c>
      <c r="K73" s="48">
        <v>4.5999999999999996</v>
      </c>
      <c r="L73" s="48">
        <f t="shared" si="6"/>
        <v>34.1</v>
      </c>
      <c r="M73" s="445">
        <v>1</v>
      </c>
      <c r="N73" s="445">
        <f t="shared" si="7"/>
        <v>34.119999999999997</v>
      </c>
    </row>
    <row r="74" spans="1:14" ht="21.95" customHeight="1">
      <c r="A74" s="22"/>
      <c r="B74" s="22"/>
      <c r="C74" s="22">
        <v>58</v>
      </c>
      <c r="D74" s="58" t="s">
        <v>614</v>
      </c>
      <c r="E74" s="22">
        <v>368</v>
      </c>
      <c r="F74" s="45">
        <f>500/5280</f>
        <v>9.4696969696969696E-2</v>
      </c>
      <c r="G74" s="24"/>
      <c r="H74" s="330" t="s">
        <v>615</v>
      </c>
      <c r="I74" s="22">
        <v>2</v>
      </c>
      <c r="J74" s="48">
        <v>23.5</v>
      </c>
      <c r="K74" s="48">
        <v>2.2999999999999998</v>
      </c>
      <c r="L74" s="48">
        <f t="shared" si="6"/>
        <v>25.8</v>
      </c>
      <c r="M74" s="445">
        <v>0.8</v>
      </c>
      <c r="N74" s="445">
        <f t="shared" si="7"/>
        <v>27.295999999999999</v>
      </c>
    </row>
    <row r="75" spans="1:14" ht="21.95" customHeight="1">
      <c r="A75" s="22"/>
      <c r="B75" s="22"/>
      <c r="C75" s="22">
        <v>59</v>
      </c>
      <c r="D75" s="58" t="s">
        <v>616</v>
      </c>
      <c r="E75" s="22">
        <v>40</v>
      </c>
      <c r="F75" s="45">
        <v>0.4</v>
      </c>
      <c r="G75" s="24"/>
      <c r="H75" s="281">
        <v>50</v>
      </c>
      <c r="I75" s="22">
        <v>1</v>
      </c>
      <c r="J75" s="48">
        <v>15</v>
      </c>
      <c r="K75" s="48">
        <v>2.2000000000000002</v>
      </c>
      <c r="L75" s="48">
        <f t="shared" si="6"/>
        <v>17.2</v>
      </c>
      <c r="M75" s="445">
        <v>0.56999999999999995</v>
      </c>
      <c r="N75" s="445">
        <f t="shared" si="7"/>
        <v>19.448399999999996</v>
      </c>
    </row>
    <row r="76" spans="1:14" ht="21.95" customHeight="1">
      <c r="A76" s="29"/>
      <c r="B76" s="29"/>
      <c r="C76" s="29">
        <v>60</v>
      </c>
      <c r="D76" s="308" t="s">
        <v>617</v>
      </c>
      <c r="E76" s="29">
        <v>101</v>
      </c>
      <c r="F76" s="46">
        <v>1.2</v>
      </c>
      <c r="G76" s="31"/>
      <c r="H76" s="310">
        <v>100</v>
      </c>
      <c r="I76" s="29">
        <v>1</v>
      </c>
      <c r="J76" s="49">
        <v>28</v>
      </c>
      <c r="K76" s="49">
        <v>4.5999999999999996</v>
      </c>
      <c r="L76" s="49">
        <f t="shared" si="6"/>
        <v>32.6</v>
      </c>
      <c r="M76" s="446">
        <v>0.76</v>
      </c>
      <c r="N76" s="446">
        <f t="shared" si="7"/>
        <v>25.931199999999997</v>
      </c>
    </row>
    <row r="77" spans="1:14" s="5" customFormat="1" ht="27.75" customHeight="1">
      <c r="A77" s="654" t="s">
        <v>1</v>
      </c>
      <c r="B77" s="632" t="s">
        <v>755</v>
      </c>
      <c r="C77" s="646" t="s">
        <v>21</v>
      </c>
      <c r="D77" s="647"/>
      <c r="E77" s="652" t="s">
        <v>756</v>
      </c>
      <c r="F77" s="654" t="s">
        <v>3</v>
      </c>
      <c r="G77" s="654"/>
      <c r="H77" s="654"/>
      <c r="I77" s="654"/>
      <c r="J77" s="654" t="s">
        <v>761</v>
      </c>
      <c r="K77" s="654"/>
      <c r="L77" s="654"/>
      <c r="M77" s="755" t="s">
        <v>752</v>
      </c>
      <c r="N77" s="755"/>
    </row>
    <row r="78" spans="1:14" s="5" customFormat="1" ht="40.5" customHeight="1">
      <c r="A78" s="654"/>
      <c r="B78" s="633"/>
      <c r="C78" s="648"/>
      <c r="D78" s="649"/>
      <c r="E78" s="652"/>
      <c r="F78" s="652" t="s">
        <v>757</v>
      </c>
      <c r="G78" s="652" t="s">
        <v>5</v>
      </c>
      <c r="H78" s="652" t="s">
        <v>6</v>
      </c>
      <c r="I78" s="652"/>
      <c r="J78" s="652" t="s">
        <v>22</v>
      </c>
      <c r="K78" s="652" t="s">
        <v>762</v>
      </c>
      <c r="L78" s="654" t="s">
        <v>8</v>
      </c>
      <c r="M78" s="755"/>
      <c r="N78" s="755"/>
    </row>
    <row r="79" spans="1:14" s="5" customFormat="1" ht="58.5" customHeight="1">
      <c r="A79" s="632"/>
      <c r="B79" s="634"/>
      <c r="C79" s="650"/>
      <c r="D79" s="651"/>
      <c r="E79" s="653"/>
      <c r="F79" s="653"/>
      <c r="G79" s="653"/>
      <c r="H79" s="381" t="s">
        <v>9</v>
      </c>
      <c r="I79" s="381" t="s">
        <v>10</v>
      </c>
      <c r="J79" s="653"/>
      <c r="K79" s="632"/>
      <c r="L79" s="632"/>
      <c r="M79" s="382" t="s">
        <v>753</v>
      </c>
      <c r="N79" s="383" t="s">
        <v>754</v>
      </c>
    </row>
    <row r="80" spans="1:14" ht="26.25" customHeight="1">
      <c r="A80" s="15"/>
      <c r="B80" s="35" t="s">
        <v>20</v>
      </c>
      <c r="C80" s="15">
        <v>61</v>
      </c>
      <c r="D80" s="301" t="s">
        <v>618</v>
      </c>
      <c r="E80" s="15">
        <v>106</v>
      </c>
      <c r="F80" s="44">
        <v>1.1399999999999999</v>
      </c>
      <c r="G80" s="18"/>
      <c r="I80" s="15">
        <v>1</v>
      </c>
      <c r="J80" s="47">
        <v>26.5</v>
      </c>
      <c r="K80" s="47">
        <v>4.3</v>
      </c>
      <c r="L80" s="47">
        <f t="shared" si="6"/>
        <v>30.8</v>
      </c>
      <c r="M80" s="444">
        <v>0.76</v>
      </c>
      <c r="N80" s="444">
        <f t="shared" ref="N80:N84" si="8">M80*34.12</f>
        <v>25.931199999999997</v>
      </c>
    </row>
    <row r="81" spans="1:14" ht="26.25" customHeight="1">
      <c r="A81" s="22"/>
      <c r="B81" s="54" t="s">
        <v>839</v>
      </c>
      <c r="C81" s="22">
        <v>62</v>
      </c>
      <c r="D81" s="58" t="s">
        <v>619</v>
      </c>
      <c r="E81" s="22">
        <v>19</v>
      </c>
      <c r="F81" s="45">
        <f>2300/5280</f>
        <v>0.43560606060606061</v>
      </c>
      <c r="G81" s="24"/>
      <c r="H81" s="307">
        <v>100</v>
      </c>
      <c r="I81" s="22">
        <v>1</v>
      </c>
      <c r="J81" s="48">
        <v>15</v>
      </c>
      <c r="K81" s="48">
        <v>2.2000000000000002</v>
      </c>
      <c r="L81" s="48">
        <f t="shared" si="6"/>
        <v>17.2</v>
      </c>
      <c r="M81" s="445">
        <v>0.56999999999999995</v>
      </c>
      <c r="N81" s="445">
        <f t="shared" si="8"/>
        <v>19.448399999999996</v>
      </c>
    </row>
    <row r="82" spans="1:14" ht="26.25" customHeight="1">
      <c r="A82" s="22"/>
      <c r="B82" s="22"/>
      <c r="C82" s="22">
        <v>63</v>
      </c>
      <c r="D82" s="58" t="s">
        <v>620</v>
      </c>
      <c r="E82" s="22">
        <v>30</v>
      </c>
      <c r="F82" s="45">
        <v>0.64</v>
      </c>
      <c r="G82" s="24"/>
      <c r="H82" s="281">
        <v>50</v>
      </c>
      <c r="I82" s="22">
        <v>1</v>
      </c>
      <c r="J82" s="48">
        <v>18</v>
      </c>
      <c r="K82" s="48">
        <v>2.8</v>
      </c>
      <c r="L82" s="48">
        <f t="shared" si="6"/>
        <v>20.8</v>
      </c>
      <c r="M82" s="445">
        <v>0.56999999999999995</v>
      </c>
      <c r="N82" s="445">
        <f t="shared" si="8"/>
        <v>19.448399999999996</v>
      </c>
    </row>
    <row r="83" spans="1:14" ht="26.25" customHeight="1">
      <c r="A83" s="22"/>
      <c r="B83" s="22"/>
      <c r="C83" s="22">
        <v>64</v>
      </c>
      <c r="D83" s="58" t="s">
        <v>621</v>
      </c>
      <c r="E83" s="22">
        <v>50</v>
      </c>
      <c r="F83" s="45">
        <v>0.3</v>
      </c>
      <c r="G83" s="24"/>
      <c r="H83" s="281">
        <v>50</v>
      </c>
      <c r="I83" s="22">
        <v>1</v>
      </c>
      <c r="J83" s="48">
        <v>13.5</v>
      </c>
      <c r="K83" s="48">
        <v>1.9</v>
      </c>
      <c r="L83" s="48">
        <f t="shared" si="6"/>
        <v>15.4</v>
      </c>
      <c r="M83" s="445">
        <v>0.56999999999999995</v>
      </c>
      <c r="N83" s="445">
        <f t="shared" si="8"/>
        <v>19.448399999999996</v>
      </c>
    </row>
    <row r="84" spans="1:14" ht="26.25" customHeight="1">
      <c r="A84" s="29"/>
      <c r="B84" s="29"/>
      <c r="C84" s="29">
        <v>65</v>
      </c>
      <c r="D84" s="308" t="s">
        <v>489</v>
      </c>
      <c r="E84" s="29">
        <v>87</v>
      </c>
      <c r="F84" s="46">
        <f>4800/5280</f>
        <v>0.90909090909090906</v>
      </c>
      <c r="G84" s="31"/>
      <c r="H84" s="281">
        <v>50</v>
      </c>
      <c r="I84" s="29">
        <v>1</v>
      </c>
      <c r="J84" s="49">
        <v>23.5</v>
      </c>
      <c r="K84" s="49">
        <v>3.7</v>
      </c>
      <c r="L84" s="49">
        <f t="shared" si="6"/>
        <v>27.2</v>
      </c>
      <c r="M84" s="446">
        <v>0.56999999999999995</v>
      </c>
      <c r="N84" s="446">
        <f t="shared" si="8"/>
        <v>19.448399999999996</v>
      </c>
    </row>
    <row r="85" spans="1:14" ht="26.25" customHeight="1">
      <c r="A85" s="64"/>
      <c r="B85" s="64" t="s">
        <v>759</v>
      </c>
      <c r="C85" s="64"/>
      <c r="D85" s="65" t="s">
        <v>844</v>
      </c>
      <c r="E85" s="338">
        <f>SUM(E6:E84)</f>
        <v>6964</v>
      </c>
      <c r="F85" s="450">
        <f>SUM(F6:F84)</f>
        <v>64.966060606060609</v>
      </c>
      <c r="G85" s="337"/>
      <c r="H85" s="451">
        <v>100</v>
      </c>
      <c r="I85" s="338">
        <f>SUM(I6:I84)</f>
        <v>65</v>
      </c>
      <c r="J85" s="339">
        <f>SUM(J6:J84)</f>
        <v>1634.1999999999998</v>
      </c>
      <c r="K85" s="339">
        <f>SUM(K6:K84)</f>
        <v>259.55000000000007</v>
      </c>
      <c r="L85" s="339">
        <f>SUM(L6:L84)</f>
        <v>1893.7500000000002</v>
      </c>
      <c r="M85" s="452">
        <f>SUM(M6:M84)</f>
        <v>47.75</v>
      </c>
      <c r="N85" s="452">
        <f t="shared" ref="N85" si="9">SUM(N6:N84)</f>
        <v>1629.2299999999991</v>
      </c>
    </row>
    <row r="86" spans="1:14">
      <c r="D86" s="33"/>
      <c r="E86" s="33"/>
      <c r="F86" s="326"/>
      <c r="G86" s="326"/>
      <c r="H86" s="325"/>
      <c r="I86" s="327"/>
      <c r="K86" s="33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</sheetData>
  <mergeCells count="89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K4:K5"/>
    <mergeCell ref="L4:L5"/>
    <mergeCell ref="B3:B5"/>
    <mergeCell ref="C3:D5"/>
    <mergeCell ref="F6:F7"/>
    <mergeCell ref="G6:G7"/>
    <mergeCell ref="J6:J7"/>
    <mergeCell ref="K6:K7"/>
    <mergeCell ref="L6:L7"/>
    <mergeCell ref="A21:A23"/>
    <mergeCell ref="E21:E23"/>
    <mergeCell ref="F21:I21"/>
    <mergeCell ref="J21:L21"/>
    <mergeCell ref="F22:F23"/>
    <mergeCell ref="G22:G23"/>
    <mergeCell ref="H22:I22"/>
    <mergeCell ref="J22:J23"/>
    <mergeCell ref="A41:A43"/>
    <mergeCell ref="E41:E43"/>
    <mergeCell ref="F41:I41"/>
    <mergeCell ref="J41:L41"/>
    <mergeCell ref="F42:F43"/>
    <mergeCell ref="G42:G43"/>
    <mergeCell ref="H42:I42"/>
    <mergeCell ref="A57:A59"/>
    <mergeCell ref="E57:E59"/>
    <mergeCell ref="F57:I57"/>
    <mergeCell ref="J57:L57"/>
    <mergeCell ref="F58:F59"/>
    <mergeCell ref="G58:G59"/>
    <mergeCell ref="A77:A79"/>
    <mergeCell ref="E77:E79"/>
    <mergeCell ref="F77:I77"/>
    <mergeCell ref="J77:L77"/>
    <mergeCell ref="F78:F79"/>
    <mergeCell ref="G78:G79"/>
    <mergeCell ref="H78:I78"/>
    <mergeCell ref="J78:J79"/>
    <mergeCell ref="K78:K79"/>
    <mergeCell ref="B77:B79"/>
    <mergeCell ref="C77:D79"/>
    <mergeCell ref="M3:N4"/>
    <mergeCell ref="B21:B23"/>
    <mergeCell ref="C21:D23"/>
    <mergeCell ref="M21:N22"/>
    <mergeCell ref="K22:K23"/>
    <mergeCell ref="L22:L23"/>
    <mergeCell ref="L13:L15"/>
    <mergeCell ref="F13:F15"/>
    <mergeCell ref="G13:G15"/>
    <mergeCell ref="H13:H15"/>
    <mergeCell ref="I13:I15"/>
    <mergeCell ref="J13:J15"/>
    <mergeCell ref="K13:K15"/>
    <mergeCell ref="J4:J5"/>
    <mergeCell ref="M13:M15"/>
    <mergeCell ref="N13:N15"/>
    <mergeCell ref="M77:N78"/>
    <mergeCell ref="M61:M63"/>
    <mergeCell ref="L78:L79"/>
    <mergeCell ref="F60:F63"/>
    <mergeCell ref="J60:J63"/>
    <mergeCell ref="K60:K63"/>
    <mergeCell ref="L60:L63"/>
    <mergeCell ref="H61:H63"/>
    <mergeCell ref="I61:I63"/>
    <mergeCell ref="N61:N63"/>
    <mergeCell ref="M41:N42"/>
    <mergeCell ref="B57:B59"/>
    <mergeCell ref="C57:D59"/>
    <mergeCell ref="M57:N58"/>
    <mergeCell ref="B41:B43"/>
    <mergeCell ref="C41:D43"/>
    <mergeCell ref="H58:I58"/>
    <mergeCell ref="J58:J59"/>
    <mergeCell ref="K58:K59"/>
    <mergeCell ref="L58:L59"/>
    <mergeCell ref="J42:J43"/>
    <mergeCell ref="K42:K43"/>
    <mergeCell ref="L42:L43"/>
  </mergeCells>
  <pageMargins left="0.25" right="0" top="0.25" bottom="0" header="0" footer="0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31"/>
  <sheetViews>
    <sheetView topLeftCell="A73" zoomScale="115" zoomScaleNormal="115" workbookViewId="0">
      <selection activeCell="A74" sqref="A74:N90"/>
    </sheetView>
  </sheetViews>
  <sheetFormatPr defaultRowHeight="16.5"/>
  <cols>
    <col min="1" max="1" width="5.5703125" style="2" customWidth="1"/>
    <col min="2" max="2" width="15.85546875" style="2" customWidth="1"/>
    <col min="3" max="3" width="5" style="2" customWidth="1"/>
    <col min="4" max="4" width="21.42578125" style="12" customWidth="1"/>
    <col min="5" max="5" width="9.140625" style="12" customWidth="1"/>
    <col min="6" max="6" width="9.85546875" style="13" customWidth="1"/>
    <col min="7" max="7" width="9.5703125" style="13" customWidth="1"/>
    <col min="8" max="8" width="9.7109375" style="13" customWidth="1"/>
    <col min="9" max="9" width="8.5703125" style="13" customWidth="1"/>
    <col min="10" max="10" width="10" style="12" customWidth="1"/>
    <col min="11" max="11" width="8.5703125" style="2" customWidth="1"/>
    <col min="12" max="12" width="11" style="2" customWidth="1"/>
    <col min="13" max="13" width="9.140625" style="2"/>
    <col min="14" max="14" width="9.85546875" style="2" customWidth="1"/>
    <col min="15" max="16384" width="9.140625" style="2"/>
  </cols>
  <sheetData>
    <row r="1" spans="1:14" ht="19.5" customHeight="1">
      <c r="A1" s="750" t="s">
        <v>622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59" t="s">
        <v>752</v>
      </c>
      <c r="N3" s="760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61"/>
      <c r="N4" s="762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113" t="s">
        <v>753</v>
      </c>
      <c r="N5" s="114" t="s">
        <v>754</v>
      </c>
    </row>
    <row r="6" spans="1:14" ht="21" customHeight="1">
      <c r="A6" s="15"/>
      <c r="B6" s="35" t="s">
        <v>840</v>
      </c>
      <c r="C6" s="15">
        <v>1</v>
      </c>
      <c r="D6" s="106" t="s">
        <v>623</v>
      </c>
      <c r="E6" s="307">
        <v>39</v>
      </c>
      <c r="F6" s="332">
        <v>0.3</v>
      </c>
      <c r="G6" s="18"/>
      <c r="H6" s="307">
        <v>50</v>
      </c>
      <c r="I6" s="15">
        <v>1</v>
      </c>
      <c r="J6" s="123">
        <v>13.5</v>
      </c>
      <c r="K6" s="123">
        <v>1.9</v>
      </c>
      <c r="L6" s="123">
        <f>J6+K6</f>
        <v>15.4</v>
      </c>
      <c r="M6" s="40">
        <v>0.56999999999999995</v>
      </c>
      <c r="N6" s="40">
        <f>M6*34.12</f>
        <v>19.448399999999996</v>
      </c>
    </row>
    <row r="7" spans="1:14" ht="21" customHeight="1">
      <c r="A7" s="22"/>
      <c r="B7" s="54" t="s">
        <v>843</v>
      </c>
      <c r="C7" s="22">
        <v>2</v>
      </c>
      <c r="D7" s="108" t="s">
        <v>13</v>
      </c>
      <c r="E7" s="281">
        <v>86</v>
      </c>
      <c r="F7" s="279">
        <v>0.6</v>
      </c>
      <c r="G7" s="24"/>
      <c r="H7" s="281">
        <v>100</v>
      </c>
      <c r="I7" s="22">
        <v>1</v>
      </c>
      <c r="J7" s="98">
        <v>19</v>
      </c>
      <c r="K7" s="98">
        <v>2.8</v>
      </c>
      <c r="L7" s="98">
        <f t="shared" ref="L7:L46" si="0">J7+K7</f>
        <v>21.8</v>
      </c>
      <c r="M7" s="41">
        <v>0.76</v>
      </c>
      <c r="N7" s="41">
        <f t="shared" ref="N7:N25" si="1">M7*34.12</f>
        <v>25.931199999999997</v>
      </c>
    </row>
    <row r="8" spans="1:14" ht="21" customHeight="1">
      <c r="A8" s="22"/>
      <c r="B8" s="22"/>
      <c r="C8" s="22">
        <v>3</v>
      </c>
      <c r="D8" s="108" t="s">
        <v>624</v>
      </c>
      <c r="E8" s="281">
        <v>201</v>
      </c>
      <c r="F8" s="279">
        <v>1.4</v>
      </c>
      <c r="G8" s="24"/>
      <c r="H8" s="281">
        <v>200</v>
      </c>
      <c r="I8" s="22">
        <v>1</v>
      </c>
      <c r="J8" s="98">
        <v>32.5</v>
      </c>
      <c r="K8" s="98">
        <v>5.2</v>
      </c>
      <c r="L8" s="98">
        <f t="shared" si="0"/>
        <v>37.700000000000003</v>
      </c>
      <c r="M8" s="41">
        <v>1</v>
      </c>
      <c r="N8" s="41">
        <f t="shared" si="1"/>
        <v>34.119999999999997</v>
      </c>
    </row>
    <row r="9" spans="1:14" ht="21" customHeight="1">
      <c r="A9" s="22"/>
      <c r="B9" s="22"/>
      <c r="C9" s="22">
        <v>4</v>
      </c>
      <c r="D9" s="108" t="s">
        <v>625</v>
      </c>
      <c r="E9" s="281">
        <v>221</v>
      </c>
      <c r="F9" s="279">
        <v>1</v>
      </c>
      <c r="G9" s="24"/>
      <c r="H9" s="281">
        <v>200</v>
      </c>
      <c r="I9" s="22">
        <v>1</v>
      </c>
      <c r="J9" s="98">
        <v>26.5</v>
      </c>
      <c r="K9" s="98">
        <v>4</v>
      </c>
      <c r="L9" s="98">
        <f t="shared" si="0"/>
        <v>30.5</v>
      </c>
      <c r="M9" s="41">
        <v>1</v>
      </c>
      <c r="N9" s="41">
        <f t="shared" si="1"/>
        <v>34.119999999999997</v>
      </c>
    </row>
    <row r="10" spans="1:14" ht="21" customHeight="1">
      <c r="A10" s="22"/>
      <c r="B10" s="22"/>
      <c r="C10" s="22">
        <v>5</v>
      </c>
      <c r="D10" s="108" t="s">
        <v>23</v>
      </c>
      <c r="E10" s="281">
        <v>105</v>
      </c>
      <c r="F10" s="279">
        <v>0.5</v>
      </c>
      <c r="G10" s="24"/>
      <c r="H10" s="281">
        <v>100</v>
      </c>
      <c r="I10" s="22">
        <v>1</v>
      </c>
      <c r="J10" s="98">
        <v>17.5</v>
      </c>
      <c r="K10" s="98">
        <v>2.5</v>
      </c>
      <c r="L10" s="98">
        <f t="shared" si="0"/>
        <v>20</v>
      </c>
      <c r="M10" s="41">
        <v>0.76</v>
      </c>
      <c r="N10" s="41">
        <f t="shared" si="1"/>
        <v>25.931199999999997</v>
      </c>
    </row>
    <row r="11" spans="1:14" ht="21" customHeight="1">
      <c r="A11" s="22"/>
      <c r="B11" s="22"/>
      <c r="C11" s="22">
        <v>6</v>
      </c>
      <c r="D11" s="108" t="s">
        <v>626</v>
      </c>
      <c r="E11" s="281">
        <v>32</v>
      </c>
      <c r="F11" s="279">
        <v>1</v>
      </c>
      <c r="G11" s="24"/>
      <c r="H11" s="281">
        <v>50</v>
      </c>
      <c r="I11" s="22">
        <v>1</v>
      </c>
      <c r="J11" s="98">
        <v>24</v>
      </c>
      <c r="K11" s="98">
        <v>4</v>
      </c>
      <c r="L11" s="98">
        <f t="shared" si="0"/>
        <v>28</v>
      </c>
      <c r="M11" s="41">
        <v>0.56999999999999995</v>
      </c>
      <c r="N11" s="41">
        <f t="shared" si="1"/>
        <v>19.448399999999996</v>
      </c>
    </row>
    <row r="12" spans="1:14" ht="21" customHeight="1">
      <c r="A12" s="22"/>
      <c r="B12" s="22"/>
      <c r="C12" s="22">
        <v>7</v>
      </c>
      <c r="D12" s="108" t="s">
        <v>627</v>
      </c>
      <c r="E12" s="281">
        <v>84</v>
      </c>
      <c r="F12" s="279">
        <v>1.2</v>
      </c>
      <c r="G12" s="24"/>
      <c r="H12" s="281">
        <v>100</v>
      </c>
      <c r="I12" s="22">
        <v>1</v>
      </c>
      <c r="J12" s="98">
        <v>28</v>
      </c>
      <c r="K12" s="98">
        <v>4.5999999999999996</v>
      </c>
      <c r="L12" s="98">
        <f t="shared" si="0"/>
        <v>32.6</v>
      </c>
      <c r="M12" s="41">
        <v>0.76</v>
      </c>
      <c r="N12" s="41">
        <f t="shared" si="1"/>
        <v>25.931199999999997</v>
      </c>
    </row>
    <row r="13" spans="1:14" ht="21" customHeight="1">
      <c r="A13" s="22"/>
      <c r="B13" s="22"/>
      <c r="C13" s="22">
        <v>8</v>
      </c>
      <c r="D13" s="108" t="s">
        <v>628</v>
      </c>
      <c r="E13" s="281">
        <v>64</v>
      </c>
      <c r="F13" s="279">
        <v>0.7</v>
      </c>
      <c r="G13" s="24"/>
      <c r="H13" s="281">
        <v>100</v>
      </c>
      <c r="I13" s="22">
        <v>1</v>
      </c>
      <c r="J13" s="98">
        <v>20.5</v>
      </c>
      <c r="K13" s="98">
        <v>3.1</v>
      </c>
      <c r="L13" s="98">
        <f t="shared" si="0"/>
        <v>23.6</v>
      </c>
      <c r="M13" s="41">
        <v>0.76</v>
      </c>
      <c r="N13" s="41">
        <f t="shared" si="1"/>
        <v>25.931199999999997</v>
      </c>
    </row>
    <row r="14" spans="1:14" ht="21" customHeight="1">
      <c r="A14" s="22"/>
      <c r="B14" s="22"/>
      <c r="C14" s="22">
        <v>9</v>
      </c>
      <c r="D14" s="108" t="s">
        <v>629</v>
      </c>
      <c r="E14" s="281">
        <v>90</v>
      </c>
      <c r="F14" s="279">
        <v>0.8</v>
      </c>
      <c r="G14" s="24"/>
      <c r="H14" s="281">
        <v>100</v>
      </c>
      <c r="I14" s="22">
        <v>1</v>
      </c>
      <c r="J14" s="98">
        <v>22</v>
      </c>
      <c r="K14" s="98">
        <v>3.4</v>
      </c>
      <c r="L14" s="98">
        <f t="shared" si="0"/>
        <v>25.4</v>
      </c>
      <c r="M14" s="41">
        <v>0.76</v>
      </c>
      <c r="N14" s="41">
        <f t="shared" si="1"/>
        <v>25.931199999999997</v>
      </c>
    </row>
    <row r="15" spans="1:14" ht="21" customHeight="1">
      <c r="A15" s="22"/>
      <c r="B15" s="22"/>
      <c r="C15" s="22">
        <v>10</v>
      </c>
      <c r="D15" s="108" t="s">
        <v>264</v>
      </c>
      <c r="E15" s="22">
        <v>42</v>
      </c>
      <c r="F15" s="45">
        <v>1.5</v>
      </c>
      <c r="G15" s="24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1">
        <v>0.56999999999999995</v>
      </c>
      <c r="N15" s="41">
        <f t="shared" si="1"/>
        <v>19.448399999999996</v>
      </c>
    </row>
    <row r="16" spans="1:14" ht="21" customHeight="1">
      <c r="A16" s="22"/>
      <c r="B16" s="22"/>
      <c r="C16" s="22">
        <v>11</v>
      </c>
      <c r="D16" s="108" t="s">
        <v>630</v>
      </c>
      <c r="E16" s="22">
        <v>80</v>
      </c>
      <c r="F16" s="45">
        <v>0.5</v>
      </c>
      <c r="G16" s="24"/>
      <c r="H16" s="22">
        <v>100</v>
      </c>
      <c r="I16" s="22">
        <v>1</v>
      </c>
      <c r="J16" s="98">
        <v>17.5</v>
      </c>
      <c r="K16" s="98">
        <v>2.5</v>
      </c>
      <c r="L16" s="98">
        <f t="shared" si="0"/>
        <v>20</v>
      </c>
      <c r="M16" s="41">
        <v>0.76</v>
      </c>
      <c r="N16" s="41">
        <f t="shared" si="1"/>
        <v>25.931199999999997</v>
      </c>
    </row>
    <row r="17" spans="1:14" ht="21" customHeight="1">
      <c r="A17" s="22"/>
      <c r="B17" s="22"/>
      <c r="C17" s="22">
        <v>12</v>
      </c>
      <c r="D17" s="108" t="s">
        <v>573</v>
      </c>
      <c r="E17" s="22">
        <v>12</v>
      </c>
      <c r="F17" s="45">
        <v>0.5</v>
      </c>
      <c r="G17" s="24"/>
      <c r="H17" s="22">
        <v>50</v>
      </c>
      <c r="I17" s="22">
        <v>1</v>
      </c>
      <c r="J17" s="98">
        <v>16.5</v>
      </c>
      <c r="K17" s="98">
        <v>2.5</v>
      </c>
      <c r="L17" s="98">
        <f t="shared" si="0"/>
        <v>19</v>
      </c>
      <c r="M17" s="41">
        <v>0.56999999999999995</v>
      </c>
      <c r="N17" s="41">
        <f t="shared" si="1"/>
        <v>19.448399999999996</v>
      </c>
    </row>
    <row r="18" spans="1:14" ht="21" customHeight="1">
      <c r="A18" s="22"/>
      <c r="B18" s="22"/>
      <c r="C18" s="22">
        <v>13</v>
      </c>
      <c r="D18" s="108" t="s">
        <v>428</v>
      </c>
      <c r="E18" s="281">
        <v>43</v>
      </c>
      <c r="F18" s="279">
        <v>0.7</v>
      </c>
      <c r="G18" s="24"/>
      <c r="H18" s="281">
        <v>50</v>
      </c>
      <c r="I18" s="22">
        <v>1</v>
      </c>
      <c r="J18" s="98">
        <v>19.5</v>
      </c>
      <c r="K18" s="98">
        <v>3.1</v>
      </c>
      <c r="L18" s="98">
        <f t="shared" si="0"/>
        <v>22.6</v>
      </c>
      <c r="M18" s="41">
        <v>0.56999999999999995</v>
      </c>
      <c r="N18" s="41">
        <f t="shared" si="1"/>
        <v>19.448399999999996</v>
      </c>
    </row>
    <row r="19" spans="1:14" ht="21" customHeight="1">
      <c r="A19" s="22"/>
      <c r="B19" s="22"/>
      <c r="C19" s="22">
        <v>14</v>
      </c>
      <c r="D19" s="108" t="s">
        <v>631</v>
      </c>
      <c r="E19" s="281">
        <v>9</v>
      </c>
      <c r="F19" s="279">
        <v>0.6</v>
      </c>
      <c r="G19" s="24"/>
      <c r="H19" s="281">
        <v>50</v>
      </c>
      <c r="I19" s="22">
        <v>1</v>
      </c>
      <c r="J19" s="98">
        <v>18</v>
      </c>
      <c r="K19" s="98">
        <v>2.8</v>
      </c>
      <c r="L19" s="98">
        <f t="shared" si="0"/>
        <v>20.8</v>
      </c>
      <c r="M19" s="41">
        <v>0.56999999999999995</v>
      </c>
      <c r="N19" s="41">
        <f t="shared" si="1"/>
        <v>19.448399999999996</v>
      </c>
    </row>
    <row r="20" spans="1:14" ht="21" customHeight="1">
      <c r="A20" s="22"/>
      <c r="B20" s="22"/>
      <c r="C20" s="22">
        <v>15</v>
      </c>
      <c r="D20" s="108" t="s">
        <v>72</v>
      </c>
      <c r="E20" s="281">
        <v>24</v>
      </c>
      <c r="F20" s="279">
        <v>0.7</v>
      </c>
      <c r="G20" s="24"/>
      <c r="H20" s="281">
        <v>50</v>
      </c>
      <c r="I20" s="22">
        <v>1</v>
      </c>
      <c r="J20" s="98">
        <v>19.5</v>
      </c>
      <c r="K20" s="98">
        <v>3.1</v>
      </c>
      <c r="L20" s="98">
        <f t="shared" si="0"/>
        <v>22.6</v>
      </c>
      <c r="M20" s="41">
        <v>0.56999999999999995</v>
      </c>
      <c r="N20" s="41">
        <f t="shared" si="1"/>
        <v>19.448399999999996</v>
      </c>
    </row>
    <row r="21" spans="1:14" ht="21" customHeight="1">
      <c r="A21" s="22"/>
      <c r="B21" s="22"/>
      <c r="C21" s="22">
        <v>16</v>
      </c>
      <c r="D21" s="108" t="s">
        <v>130</v>
      </c>
      <c r="E21" s="281">
        <v>27</v>
      </c>
      <c r="F21" s="279">
        <v>1.5</v>
      </c>
      <c r="G21" s="24"/>
      <c r="H21" s="281">
        <v>50</v>
      </c>
      <c r="I21" s="22">
        <v>1</v>
      </c>
      <c r="J21" s="98">
        <v>31.5</v>
      </c>
      <c r="K21" s="98">
        <v>5.5</v>
      </c>
      <c r="L21" s="98">
        <f t="shared" si="0"/>
        <v>37</v>
      </c>
      <c r="M21" s="41">
        <v>0.56999999999999995</v>
      </c>
      <c r="N21" s="41">
        <f t="shared" si="1"/>
        <v>19.448399999999996</v>
      </c>
    </row>
    <row r="22" spans="1:14" ht="21" customHeight="1">
      <c r="A22" s="22"/>
      <c r="B22" s="22"/>
      <c r="C22" s="22">
        <v>17</v>
      </c>
      <c r="D22" s="108" t="s">
        <v>632</v>
      </c>
      <c r="E22" s="281">
        <v>61</v>
      </c>
      <c r="F22" s="279">
        <v>1.7</v>
      </c>
      <c r="G22" s="24"/>
      <c r="H22" s="281">
        <v>100</v>
      </c>
      <c r="I22" s="22">
        <v>1</v>
      </c>
      <c r="J22" s="98">
        <v>35.5</v>
      </c>
      <c r="K22" s="98">
        <v>6.1</v>
      </c>
      <c r="L22" s="98">
        <f t="shared" si="0"/>
        <v>41.6</v>
      </c>
      <c r="M22" s="41">
        <v>0.76</v>
      </c>
      <c r="N22" s="41">
        <f t="shared" si="1"/>
        <v>25.931199999999997</v>
      </c>
    </row>
    <row r="23" spans="1:14" ht="21" customHeight="1">
      <c r="A23" s="22"/>
      <c r="B23" s="22"/>
      <c r="C23" s="22">
        <v>18</v>
      </c>
      <c r="D23" s="108" t="s">
        <v>633</v>
      </c>
      <c r="E23" s="281">
        <v>14</v>
      </c>
      <c r="F23" s="279">
        <v>0.3</v>
      </c>
      <c r="G23" s="24"/>
      <c r="H23" s="281">
        <v>50</v>
      </c>
      <c r="I23" s="22">
        <v>1</v>
      </c>
      <c r="J23" s="98">
        <v>13.5</v>
      </c>
      <c r="K23" s="98">
        <v>1.9</v>
      </c>
      <c r="L23" s="98">
        <f t="shared" si="0"/>
        <v>15.4</v>
      </c>
      <c r="M23" s="41">
        <v>0.56999999999999995</v>
      </c>
      <c r="N23" s="41">
        <f t="shared" si="1"/>
        <v>19.448399999999996</v>
      </c>
    </row>
    <row r="24" spans="1:14" ht="21" customHeight="1">
      <c r="A24" s="22"/>
      <c r="B24" s="22"/>
      <c r="C24" s="22">
        <v>19</v>
      </c>
      <c r="D24" s="108" t="s">
        <v>634</v>
      </c>
      <c r="E24" s="22">
        <v>74</v>
      </c>
      <c r="F24" s="45">
        <v>0.8</v>
      </c>
      <c r="G24" s="24"/>
      <c r="H24" s="22">
        <v>100</v>
      </c>
      <c r="I24" s="22">
        <v>1</v>
      </c>
      <c r="J24" s="98">
        <v>22</v>
      </c>
      <c r="K24" s="98">
        <v>3.4</v>
      </c>
      <c r="L24" s="98">
        <f t="shared" si="0"/>
        <v>25.4</v>
      </c>
      <c r="M24" s="41">
        <v>0.76</v>
      </c>
      <c r="N24" s="41">
        <f t="shared" si="1"/>
        <v>25.931199999999997</v>
      </c>
    </row>
    <row r="25" spans="1:14" ht="21" customHeight="1">
      <c r="A25" s="29"/>
      <c r="B25" s="29"/>
      <c r="C25" s="29">
        <v>20</v>
      </c>
      <c r="D25" s="334" t="s">
        <v>635</v>
      </c>
      <c r="E25" s="310">
        <v>130</v>
      </c>
      <c r="F25" s="335">
        <v>0.5</v>
      </c>
      <c r="G25" s="31"/>
      <c r="H25" s="310">
        <v>160</v>
      </c>
      <c r="I25" s="29">
        <v>1</v>
      </c>
      <c r="J25" s="102">
        <v>18.5</v>
      </c>
      <c r="K25" s="102">
        <v>2.5</v>
      </c>
      <c r="L25" s="102">
        <f t="shared" si="0"/>
        <v>21</v>
      </c>
      <c r="M25" s="42">
        <v>0.8</v>
      </c>
      <c r="N25" s="42">
        <f t="shared" si="1"/>
        <v>27.295999999999999</v>
      </c>
    </row>
    <row r="26" spans="1:14" ht="19.5" customHeight="1">
      <c r="A26" s="750" t="s">
        <v>622</v>
      </c>
      <c r="B26" s="750"/>
      <c r="C26" s="750"/>
      <c r="D26" s="750"/>
      <c r="E26" s="750"/>
      <c r="F26" s="750"/>
      <c r="G26" s="750"/>
      <c r="H26" s="750"/>
      <c r="I26" s="750"/>
      <c r="J26" s="750"/>
      <c r="K26" s="750"/>
      <c r="L26" s="750"/>
    </row>
    <row r="27" spans="1:14">
      <c r="A27" s="319"/>
      <c r="B27" s="320"/>
      <c r="C27" s="320"/>
      <c r="D27" s="320"/>
      <c r="E27" s="320"/>
      <c r="F27" s="321"/>
      <c r="G27" s="321"/>
      <c r="H27" s="750"/>
      <c r="I27" s="750"/>
      <c r="J27" s="750"/>
    </row>
    <row r="28" spans="1:14" s="5" customFormat="1" ht="27.75" customHeight="1">
      <c r="A28" s="654" t="s">
        <v>1</v>
      </c>
      <c r="B28" s="632" t="s">
        <v>755</v>
      </c>
      <c r="C28" s="646" t="s">
        <v>21</v>
      </c>
      <c r="D28" s="647"/>
      <c r="E28" s="652" t="s">
        <v>756</v>
      </c>
      <c r="F28" s="654" t="s">
        <v>3</v>
      </c>
      <c r="G28" s="654"/>
      <c r="H28" s="654"/>
      <c r="I28" s="654"/>
      <c r="J28" s="654" t="s">
        <v>761</v>
      </c>
      <c r="K28" s="654"/>
      <c r="L28" s="654"/>
      <c r="M28" s="759" t="s">
        <v>752</v>
      </c>
      <c r="N28" s="760"/>
    </row>
    <row r="29" spans="1:14" s="5" customFormat="1" ht="40.5" customHeight="1">
      <c r="A29" s="654"/>
      <c r="B29" s="633"/>
      <c r="C29" s="648"/>
      <c r="D29" s="649"/>
      <c r="E29" s="652"/>
      <c r="F29" s="652" t="s">
        <v>757</v>
      </c>
      <c r="G29" s="652" t="s">
        <v>5</v>
      </c>
      <c r="H29" s="652" t="s">
        <v>6</v>
      </c>
      <c r="I29" s="652"/>
      <c r="J29" s="652" t="s">
        <v>22</v>
      </c>
      <c r="K29" s="652" t="s">
        <v>762</v>
      </c>
      <c r="L29" s="654" t="s">
        <v>8</v>
      </c>
      <c r="M29" s="761"/>
      <c r="N29" s="762"/>
    </row>
    <row r="30" spans="1:14" s="5" customFormat="1" ht="58.5" customHeight="1">
      <c r="A30" s="632"/>
      <c r="B30" s="634"/>
      <c r="C30" s="650"/>
      <c r="D30" s="651"/>
      <c r="E30" s="653"/>
      <c r="F30" s="653"/>
      <c r="G30" s="653"/>
      <c r="H30" s="381" t="s">
        <v>9</v>
      </c>
      <c r="I30" s="381" t="s">
        <v>10</v>
      </c>
      <c r="J30" s="653"/>
      <c r="K30" s="632"/>
      <c r="L30" s="632"/>
      <c r="M30" s="113" t="s">
        <v>753</v>
      </c>
      <c r="N30" s="114" t="s">
        <v>754</v>
      </c>
    </row>
    <row r="31" spans="1:14" ht="24.75" customHeight="1">
      <c r="A31" s="15"/>
      <c r="B31" s="35" t="s">
        <v>840</v>
      </c>
      <c r="C31" s="15">
        <v>21</v>
      </c>
      <c r="D31" s="106" t="s">
        <v>495</v>
      </c>
      <c r="E31" s="307">
        <v>43</v>
      </c>
      <c r="F31" s="332">
        <v>0.7</v>
      </c>
      <c r="G31" s="18"/>
      <c r="H31" s="307">
        <v>50</v>
      </c>
      <c r="I31" s="15">
        <v>1</v>
      </c>
      <c r="J31" s="123">
        <v>19.5</v>
      </c>
      <c r="K31" s="123">
        <v>3.1</v>
      </c>
      <c r="L31" s="123">
        <f t="shared" si="0"/>
        <v>22.6</v>
      </c>
      <c r="M31" s="40">
        <v>0.56999999999999995</v>
      </c>
      <c r="N31" s="40">
        <f t="shared" ref="N31:N46" si="2">M31*34.12</f>
        <v>19.448399999999996</v>
      </c>
    </row>
    <row r="32" spans="1:14" ht="24.75" customHeight="1">
      <c r="A32" s="22"/>
      <c r="B32" s="54" t="s">
        <v>843</v>
      </c>
      <c r="C32" s="22">
        <v>22</v>
      </c>
      <c r="D32" s="108" t="s">
        <v>636</v>
      </c>
      <c r="E32" s="281">
        <v>88</v>
      </c>
      <c r="F32" s="279">
        <v>0.2</v>
      </c>
      <c r="G32" s="24"/>
      <c r="H32" s="281">
        <v>100</v>
      </c>
      <c r="I32" s="22">
        <v>1</v>
      </c>
      <c r="J32" s="98">
        <v>13</v>
      </c>
      <c r="K32" s="98">
        <v>1.6</v>
      </c>
      <c r="L32" s="98">
        <f t="shared" si="0"/>
        <v>14.6</v>
      </c>
      <c r="M32" s="41">
        <v>0.76</v>
      </c>
      <c r="N32" s="41">
        <f t="shared" si="2"/>
        <v>25.931199999999997</v>
      </c>
    </row>
    <row r="33" spans="1:14" ht="24.75" customHeight="1">
      <c r="A33" s="22"/>
      <c r="B33" s="22"/>
      <c r="C33" s="22">
        <v>23</v>
      </c>
      <c r="D33" s="108" t="s">
        <v>637</v>
      </c>
      <c r="E33" s="281">
        <v>56</v>
      </c>
      <c r="F33" s="279">
        <v>0.7</v>
      </c>
      <c r="G33" s="24"/>
      <c r="H33" s="281">
        <v>50</v>
      </c>
      <c r="I33" s="22">
        <v>1</v>
      </c>
      <c r="J33" s="98">
        <v>19.5</v>
      </c>
      <c r="K33" s="98">
        <v>3.1</v>
      </c>
      <c r="L33" s="98">
        <f t="shared" si="0"/>
        <v>22.6</v>
      </c>
      <c r="M33" s="41">
        <v>0.56999999999999995</v>
      </c>
      <c r="N33" s="41">
        <f t="shared" si="2"/>
        <v>19.448399999999996</v>
      </c>
    </row>
    <row r="34" spans="1:14" ht="24.75" customHeight="1">
      <c r="A34" s="22"/>
      <c r="B34" s="22"/>
      <c r="C34" s="22">
        <v>24</v>
      </c>
      <c r="D34" s="108" t="s">
        <v>484</v>
      </c>
      <c r="E34" s="281">
        <v>48</v>
      </c>
      <c r="F34" s="279">
        <v>0.03</v>
      </c>
      <c r="G34" s="24"/>
      <c r="H34" s="281">
        <v>50</v>
      </c>
      <c r="I34" s="22">
        <v>1</v>
      </c>
      <c r="J34" s="98">
        <v>9.4499999999999993</v>
      </c>
      <c r="K34" s="98">
        <v>1.0900000000000001</v>
      </c>
      <c r="L34" s="98">
        <f t="shared" si="0"/>
        <v>10.54</v>
      </c>
      <c r="M34" s="41">
        <v>0.56999999999999995</v>
      </c>
      <c r="N34" s="41">
        <f t="shared" si="2"/>
        <v>19.448399999999996</v>
      </c>
    </row>
    <row r="35" spans="1:14" ht="24.75" customHeight="1">
      <c r="A35" s="22"/>
      <c r="B35" s="22"/>
      <c r="C35" s="22">
        <v>25</v>
      </c>
      <c r="D35" s="108" t="s">
        <v>590</v>
      </c>
      <c r="E35" s="281">
        <v>55</v>
      </c>
      <c r="F35" s="279">
        <v>0.7</v>
      </c>
      <c r="G35" s="24"/>
      <c r="H35" s="281">
        <v>50</v>
      </c>
      <c r="I35" s="22">
        <v>1</v>
      </c>
      <c r="J35" s="98">
        <v>19.5</v>
      </c>
      <c r="K35" s="98">
        <v>3.1</v>
      </c>
      <c r="L35" s="98">
        <f t="shared" si="0"/>
        <v>22.6</v>
      </c>
      <c r="M35" s="41">
        <v>0.56999999999999995</v>
      </c>
      <c r="N35" s="41">
        <f t="shared" si="2"/>
        <v>19.448399999999996</v>
      </c>
    </row>
    <row r="36" spans="1:14" ht="24.75" customHeight="1">
      <c r="A36" s="22"/>
      <c r="B36" s="22"/>
      <c r="C36" s="22">
        <v>26</v>
      </c>
      <c r="D36" s="108" t="s">
        <v>638</v>
      </c>
      <c r="E36" s="22">
        <v>52</v>
      </c>
      <c r="F36" s="45">
        <v>0.5</v>
      </c>
      <c r="G36" s="24"/>
      <c r="H36" s="22">
        <v>50</v>
      </c>
      <c r="I36" s="22">
        <v>1</v>
      </c>
      <c r="J36" s="98">
        <v>16.5</v>
      </c>
      <c r="K36" s="98">
        <v>2.5</v>
      </c>
      <c r="L36" s="98">
        <f t="shared" si="0"/>
        <v>19</v>
      </c>
      <c r="M36" s="41">
        <v>0.56999999999999995</v>
      </c>
      <c r="N36" s="41">
        <f t="shared" si="2"/>
        <v>19.448399999999996</v>
      </c>
    </row>
    <row r="37" spans="1:14" ht="24.75" customHeight="1">
      <c r="A37" s="22"/>
      <c r="B37" s="22"/>
      <c r="C37" s="22">
        <v>27</v>
      </c>
      <c r="D37" s="108" t="s">
        <v>639</v>
      </c>
      <c r="E37" s="22">
        <v>53</v>
      </c>
      <c r="F37" s="45">
        <v>0.7</v>
      </c>
      <c r="G37" s="24"/>
      <c r="H37" s="22">
        <v>50</v>
      </c>
      <c r="I37" s="22">
        <v>1</v>
      </c>
      <c r="J37" s="98">
        <v>19.5</v>
      </c>
      <c r="K37" s="98">
        <v>3.1</v>
      </c>
      <c r="L37" s="98">
        <f t="shared" si="0"/>
        <v>22.6</v>
      </c>
      <c r="M37" s="41">
        <v>0.56999999999999995</v>
      </c>
      <c r="N37" s="41">
        <f t="shared" si="2"/>
        <v>19.448399999999996</v>
      </c>
    </row>
    <row r="38" spans="1:14" ht="24.75" customHeight="1">
      <c r="A38" s="22"/>
      <c r="B38" s="22"/>
      <c r="C38" s="22">
        <v>28</v>
      </c>
      <c r="D38" s="108" t="s">
        <v>640</v>
      </c>
      <c r="E38" s="281">
        <v>180</v>
      </c>
      <c r="F38" s="279">
        <v>0.8</v>
      </c>
      <c r="G38" s="24"/>
      <c r="H38" s="281">
        <v>200</v>
      </c>
      <c r="I38" s="22">
        <v>1</v>
      </c>
      <c r="J38" s="98">
        <v>23.5</v>
      </c>
      <c r="K38" s="98">
        <v>3.4</v>
      </c>
      <c r="L38" s="98">
        <f t="shared" si="0"/>
        <v>26.9</v>
      </c>
      <c r="M38" s="41">
        <v>1</v>
      </c>
      <c r="N38" s="41">
        <f t="shared" si="2"/>
        <v>34.119999999999997</v>
      </c>
    </row>
    <row r="39" spans="1:14" ht="24.75" customHeight="1">
      <c r="A39" s="22"/>
      <c r="B39" s="22"/>
      <c r="C39" s="22">
        <v>29</v>
      </c>
      <c r="D39" s="108" t="s">
        <v>641</v>
      </c>
      <c r="E39" s="22">
        <v>202</v>
      </c>
      <c r="F39" s="45">
        <v>0.7</v>
      </c>
      <c r="G39" s="24"/>
      <c r="H39" s="22">
        <v>200</v>
      </c>
      <c r="I39" s="22">
        <v>1</v>
      </c>
      <c r="J39" s="98">
        <v>22</v>
      </c>
      <c r="K39" s="98">
        <v>3.1</v>
      </c>
      <c r="L39" s="98">
        <f t="shared" si="0"/>
        <v>25.1</v>
      </c>
      <c r="M39" s="41">
        <v>1</v>
      </c>
      <c r="N39" s="41">
        <f t="shared" si="2"/>
        <v>34.119999999999997</v>
      </c>
    </row>
    <row r="40" spans="1:14" ht="24.75" customHeight="1">
      <c r="A40" s="22"/>
      <c r="B40" s="22"/>
      <c r="C40" s="22">
        <v>30</v>
      </c>
      <c r="D40" s="108" t="s">
        <v>642</v>
      </c>
      <c r="E40" s="22">
        <v>86</v>
      </c>
      <c r="F40" s="45">
        <v>0.6</v>
      </c>
      <c r="G40" s="24"/>
      <c r="H40" s="22">
        <v>100</v>
      </c>
      <c r="I40" s="22">
        <v>1</v>
      </c>
      <c r="J40" s="98">
        <v>19</v>
      </c>
      <c r="K40" s="98">
        <v>2.8</v>
      </c>
      <c r="L40" s="98">
        <f t="shared" si="0"/>
        <v>21.8</v>
      </c>
      <c r="M40" s="41">
        <v>0.76</v>
      </c>
      <c r="N40" s="41">
        <f t="shared" si="2"/>
        <v>25.931199999999997</v>
      </c>
    </row>
    <row r="41" spans="1:14" ht="24.75" customHeight="1">
      <c r="A41" s="22"/>
      <c r="B41" s="22"/>
      <c r="C41" s="22">
        <v>31</v>
      </c>
      <c r="D41" s="108" t="s">
        <v>643</v>
      </c>
      <c r="E41" s="22">
        <v>135</v>
      </c>
      <c r="F41" s="45">
        <v>0.95</v>
      </c>
      <c r="G41" s="24"/>
      <c r="H41" s="22">
        <v>100</v>
      </c>
      <c r="I41" s="22">
        <v>1</v>
      </c>
      <c r="J41" s="98">
        <v>24.25</v>
      </c>
      <c r="K41" s="98">
        <v>3.85</v>
      </c>
      <c r="L41" s="98">
        <f t="shared" si="0"/>
        <v>28.1</v>
      </c>
      <c r="M41" s="41">
        <v>0.76</v>
      </c>
      <c r="N41" s="41">
        <f t="shared" si="2"/>
        <v>25.931199999999997</v>
      </c>
    </row>
    <row r="42" spans="1:14" ht="24.75" customHeight="1">
      <c r="A42" s="22"/>
      <c r="B42" s="22"/>
      <c r="C42" s="22">
        <v>32</v>
      </c>
      <c r="D42" s="58" t="s">
        <v>644</v>
      </c>
      <c r="E42" s="22">
        <v>140</v>
      </c>
      <c r="F42" s="45">
        <v>0.6</v>
      </c>
      <c r="G42" s="24"/>
      <c r="H42" s="22">
        <v>160</v>
      </c>
      <c r="I42" s="22">
        <v>1</v>
      </c>
      <c r="J42" s="98">
        <v>20</v>
      </c>
      <c r="K42" s="98">
        <v>2.8</v>
      </c>
      <c r="L42" s="98">
        <f t="shared" si="0"/>
        <v>22.8</v>
      </c>
      <c r="M42" s="41">
        <v>0.8</v>
      </c>
      <c r="N42" s="41">
        <f t="shared" si="2"/>
        <v>27.295999999999999</v>
      </c>
    </row>
    <row r="43" spans="1:14" ht="24.75" customHeight="1">
      <c r="A43" s="22"/>
      <c r="B43" s="22"/>
      <c r="C43" s="22">
        <v>33</v>
      </c>
      <c r="D43" s="58" t="s">
        <v>645</v>
      </c>
      <c r="E43" s="22">
        <v>60</v>
      </c>
      <c r="F43" s="45">
        <v>0.5</v>
      </c>
      <c r="G43" s="24"/>
      <c r="H43" s="22">
        <v>50</v>
      </c>
      <c r="I43" s="22">
        <v>1</v>
      </c>
      <c r="J43" s="98">
        <v>16.5</v>
      </c>
      <c r="K43" s="98">
        <v>2.5</v>
      </c>
      <c r="L43" s="98">
        <f t="shared" si="0"/>
        <v>19</v>
      </c>
      <c r="M43" s="41">
        <v>0.56999999999999995</v>
      </c>
      <c r="N43" s="41">
        <f t="shared" si="2"/>
        <v>19.448399999999996</v>
      </c>
    </row>
    <row r="44" spans="1:14" ht="24.75" customHeight="1">
      <c r="A44" s="22"/>
      <c r="B44" s="22"/>
      <c r="C44" s="22">
        <v>34</v>
      </c>
      <c r="D44" s="108" t="s">
        <v>590</v>
      </c>
      <c r="E44" s="22">
        <v>103</v>
      </c>
      <c r="F44" s="45">
        <v>1.2</v>
      </c>
      <c r="G44" s="24"/>
      <c r="H44" s="22">
        <v>100</v>
      </c>
      <c r="I44" s="22">
        <v>1</v>
      </c>
      <c r="J44" s="98">
        <v>28</v>
      </c>
      <c r="K44" s="98">
        <v>4.5999999999999996</v>
      </c>
      <c r="L44" s="98">
        <f t="shared" si="0"/>
        <v>32.6</v>
      </c>
      <c r="M44" s="41">
        <v>0.76</v>
      </c>
      <c r="N44" s="41">
        <f t="shared" si="2"/>
        <v>25.931199999999997</v>
      </c>
    </row>
    <row r="45" spans="1:14" ht="24.75" customHeight="1">
      <c r="A45" s="22"/>
      <c r="B45" s="22"/>
      <c r="C45" s="22">
        <v>35</v>
      </c>
      <c r="D45" s="108" t="s">
        <v>646</v>
      </c>
      <c r="E45" s="22">
        <v>74</v>
      </c>
      <c r="F45" s="45">
        <v>0.4</v>
      </c>
      <c r="G45" s="24"/>
      <c r="H45" s="22">
        <v>100</v>
      </c>
      <c r="I45" s="22">
        <v>1</v>
      </c>
      <c r="J45" s="98">
        <v>16</v>
      </c>
      <c r="K45" s="98">
        <v>2.2000000000000002</v>
      </c>
      <c r="L45" s="98">
        <f t="shared" si="0"/>
        <v>18.2</v>
      </c>
      <c r="M45" s="41">
        <v>0.76</v>
      </c>
      <c r="N45" s="41">
        <f t="shared" si="2"/>
        <v>25.931199999999997</v>
      </c>
    </row>
    <row r="46" spans="1:14" ht="24.75" customHeight="1">
      <c r="A46" s="29"/>
      <c r="B46" s="29"/>
      <c r="C46" s="29">
        <v>36</v>
      </c>
      <c r="D46" s="334" t="s">
        <v>244</v>
      </c>
      <c r="E46" s="29">
        <v>157</v>
      </c>
      <c r="F46" s="46">
        <v>0.7</v>
      </c>
      <c r="G46" s="31"/>
      <c r="H46" s="29">
        <v>100</v>
      </c>
      <c r="I46" s="29">
        <v>1</v>
      </c>
      <c r="J46" s="102">
        <v>20.5</v>
      </c>
      <c r="K46" s="102">
        <v>3.1</v>
      </c>
      <c r="L46" s="102">
        <f t="shared" si="0"/>
        <v>23.6</v>
      </c>
      <c r="M46" s="42">
        <v>0.76</v>
      </c>
      <c r="N46" s="42">
        <f t="shared" si="2"/>
        <v>25.931199999999997</v>
      </c>
    </row>
    <row r="47" spans="1:14" s="122" customFormat="1" ht="25.5" customHeight="1">
      <c r="A47" s="186"/>
      <c r="B47" s="186" t="s">
        <v>759</v>
      </c>
      <c r="C47" s="186"/>
      <c r="D47" s="187" t="s">
        <v>779</v>
      </c>
      <c r="E47" s="340">
        <f t="shared" ref="E47:F47" si="3">SUM(E6:E46)</f>
        <v>2970</v>
      </c>
      <c r="F47" s="341">
        <f t="shared" si="3"/>
        <v>26.779999999999994</v>
      </c>
      <c r="G47" s="342"/>
      <c r="H47" s="340">
        <f>SUM(H6:H46)</f>
        <v>3320</v>
      </c>
      <c r="I47" s="343">
        <f>SUM(I6:I46)</f>
        <v>36</v>
      </c>
      <c r="J47" s="344">
        <f>SUM(J6:J46)</f>
        <v>753.7</v>
      </c>
      <c r="K47" s="344">
        <f>SUM(K6:K46)</f>
        <v>116.33999999999996</v>
      </c>
      <c r="L47" s="345">
        <f>SUM(L6:L46)</f>
        <v>870.04000000000019</v>
      </c>
      <c r="M47" s="346">
        <f t="shared" ref="M47:N47" si="4">SUM(M6:M46)</f>
        <v>25.36000000000001</v>
      </c>
      <c r="N47" s="346">
        <f t="shared" si="4"/>
        <v>865.28319999999985</v>
      </c>
    </row>
    <row r="48" spans="1:14">
      <c r="D48" s="2"/>
      <c r="E48" s="2"/>
      <c r="F48" s="2"/>
      <c r="G48" s="2"/>
      <c r="H48" s="2"/>
      <c r="I48" s="2"/>
      <c r="J48" s="2"/>
    </row>
    <row r="49" spans="1:14">
      <c r="D49" s="2"/>
      <c r="E49" s="2"/>
      <c r="F49" s="2"/>
      <c r="G49" s="2"/>
      <c r="H49" s="2"/>
      <c r="I49" s="2"/>
      <c r="J49" s="2"/>
    </row>
    <row r="50" spans="1:14">
      <c r="D50" s="2"/>
      <c r="E50" s="2"/>
      <c r="F50" s="2"/>
      <c r="G50" s="2"/>
      <c r="H50" s="2"/>
      <c r="I50" s="2"/>
      <c r="J50" s="2"/>
    </row>
    <row r="51" spans="1:14" ht="29.25" customHeight="1">
      <c r="A51" s="691" t="s">
        <v>647</v>
      </c>
      <c r="B51" s="691"/>
      <c r="C51" s="691"/>
      <c r="D51" s="691"/>
      <c r="E51" s="691"/>
      <c r="F51" s="691"/>
      <c r="G51" s="691"/>
      <c r="H51" s="691"/>
      <c r="I51" s="691"/>
      <c r="J51" s="691"/>
      <c r="K51" s="691"/>
      <c r="L51" s="691"/>
    </row>
    <row r="52" spans="1:14" s="5" customFormat="1" ht="27.75" customHeight="1">
      <c r="A52" s="654" t="s">
        <v>1</v>
      </c>
      <c r="B52" s="632" t="s">
        <v>755</v>
      </c>
      <c r="C52" s="646" t="s">
        <v>21</v>
      </c>
      <c r="D52" s="647"/>
      <c r="E52" s="652" t="s">
        <v>756</v>
      </c>
      <c r="F52" s="654" t="s">
        <v>3</v>
      </c>
      <c r="G52" s="654"/>
      <c r="H52" s="654"/>
      <c r="I52" s="654"/>
      <c r="J52" s="654" t="s">
        <v>761</v>
      </c>
      <c r="K52" s="654"/>
      <c r="L52" s="654"/>
      <c r="M52" s="759" t="s">
        <v>752</v>
      </c>
      <c r="N52" s="760"/>
    </row>
    <row r="53" spans="1:14" s="5" customFormat="1" ht="40.5" customHeight="1">
      <c r="A53" s="654"/>
      <c r="B53" s="633"/>
      <c r="C53" s="648"/>
      <c r="D53" s="649"/>
      <c r="E53" s="652"/>
      <c r="F53" s="652" t="s">
        <v>757</v>
      </c>
      <c r="G53" s="652" t="s">
        <v>5</v>
      </c>
      <c r="H53" s="652" t="s">
        <v>6</v>
      </c>
      <c r="I53" s="652"/>
      <c r="J53" s="652" t="s">
        <v>22</v>
      </c>
      <c r="K53" s="652" t="s">
        <v>762</v>
      </c>
      <c r="L53" s="654" t="s">
        <v>8</v>
      </c>
      <c r="M53" s="761"/>
      <c r="N53" s="762"/>
    </row>
    <row r="54" spans="1:14" s="5" customFormat="1" ht="58.5" customHeight="1">
      <c r="A54" s="632"/>
      <c r="B54" s="634"/>
      <c r="C54" s="650"/>
      <c r="D54" s="651"/>
      <c r="E54" s="653"/>
      <c r="F54" s="653"/>
      <c r="G54" s="653"/>
      <c r="H54" s="381" t="s">
        <v>9</v>
      </c>
      <c r="I54" s="381" t="s">
        <v>10</v>
      </c>
      <c r="J54" s="653"/>
      <c r="K54" s="632"/>
      <c r="L54" s="632"/>
      <c r="M54" s="113" t="s">
        <v>753</v>
      </c>
      <c r="N54" s="114" t="s">
        <v>754</v>
      </c>
    </row>
    <row r="55" spans="1:14" ht="21" customHeight="1">
      <c r="A55" s="15"/>
      <c r="B55" s="35" t="s">
        <v>840</v>
      </c>
      <c r="C55" s="15">
        <v>1</v>
      </c>
      <c r="D55" s="81" t="s">
        <v>498</v>
      </c>
      <c r="E55" s="82">
        <v>78</v>
      </c>
      <c r="F55" s="83">
        <v>1.2</v>
      </c>
      <c r="G55" s="336"/>
      <c r="H55" s="82">
        <v>100</v>
      </c>
      <c r="I55" s="15">
        <v>1</v>
      </c>
      <c r="J55" s="123">
        <v>28</v>
      </c>
      <c r="K55" s="123">
        <v>4.5999999999999996</v>
      </c>
      <c r="L55" s="124">
        <f t="shared" ref="L55:L68" si="5">K55+J55</f>
        <v>32.6</v>
      </c>
      <c r="M55" s="40">
        <v>0.76</v>
      </c>
      <c r="N55" s="40">
        <f>M55*34.12</f>
        <v>25.931199999999997</v>
      </c>
    </row>
    <row r="56" spans="1:14" ht="21" customHeight="1">
      <c r="A56" s="22"/>
      <c r="B56" s="54" t="s">
        <v>841</v>
      </c>
      <c r="C56" s="22">
        <v>2</v>
      </c>
      <c r="D56" s="86" t="s">
        <v>648</v>
      </c>
      <c r="E56" s="87">
        <v>56</v>
      </c>
      <c r="F56" s="88">
        <v>0.8</v>
      </c>
      <c r="G56" s="104"/>
      <c r="H56" s="87">
        <v>50</v>
      </c>
      <c r="I56" s="22">
        <v>1</v>
      </c>
      <c r="J56" s="98">
        <v>21</v>
      </c>
      <c r="K56" s="98">
        <v>3.4</v>
      </c>
      <c r="L56" s="99">
        <f t="shared" si="5"/>
        <v>24.4</v>
      </c>
      <c r="M56" s="41">
        <v>0.56999999999999995</v>
      </c>
      <c r="N56" s="41">
        <f t="shared" ref="N56:N72" si="6">M56*34.12</f>
        <v>19.448399999999996</v>
      </c>
    </row>
    <row r="57" spans="1:14" ht="21" customHeight="1">
      <c r="A57" s="22"/>
      <c r="B57" s="22"/>
      <c r="C57" s="22">
        <v>3</v>
      </c>
      <c r="D57" s="86" t="s">
        <v>91</v>
      </c>
      <c r="E57" s="87">
        <v>164</v>
      </c>
      <c r="F57" s="88">
        <v>0.85</v>
      </c>
      <c r="G57" s="104"/>
      <c r="H57" s="87">
        <v>200</v>
      </c>
      <c r="I57" s="22">
        <v>1</v>
      </c>
      <c r="J57" s="98">
        <v>24.25</v>
      </c>
      <c r="K57" s="98">
        <v>3.55</v>
      </c>
      <c r="L57" s="99">
        <f t="shared" si="5"/>
        <v>27.8</v>
      </c>
      <c r="M57" s="41">
        <v>1</v>
      </c>
      <c r="N57" s="41">
        <f t="shared" si="6"/>
        <v>34.119999999999997</v>
      </c>
    </row>
    <row r="58" spans="1:14" ht="21" customHeight="1">
      <c r="A58" s="22"/>
      <c r="B58" s="22"/>
      <c r="C58" s="22">
        <v>4</v>
      </c>
      <c r="D58" s="86" t="s">
        <v>649</v>
      </c>
      <c r="E58" s="87">
        <v>54</v>
      </c>
      <c r="F58" s="88">
        <v>0.3</v>
      </c>
      <c r="G58" s="206"/>
      <c r="H58" s="87">
        <v>50</v>
      </c>
      <c r="I58" s="22">
        <v>1</v>
      </c>
      <c r="J58" s="98">
        <v>13.5</v>
      </c>
      <c r="K58" s="98">
        <v>1.9</v>
      </c>
      <c r="L58" s="99">
        <f t="shared" si="5"/>
        <v>15.4</v>
      </c>
      <c r="M58" s="41">
        <v>0.56999999999999995</v>
      </c>
      <c r="N58" s="41">
        <f t="shared" si="6"/>
        <v>19.448399999999996</v>
      </c>
    </row>
    <row r="59" spans="1:14" ht="21" customHeight="1">
      <c r="A59" s="22"/>
      <c r="B59" s="22"/>
      <c r="C59" s="22">
        <v>5</v>
      </c>
      <c r="D59" s="86" t="s">
        <v>650</v>
      </c>
      <c r="E59" s="87">
        <v>46</v>
      </c>
      <c r="F59" s="88">
        <v>0.8</v>
      </c>
      <c r="G59" s="206"/>
      <c r="H59" s="87">
        <v>50</v>
      </c>
      <c r="I59" s="22">
        <v>1</v>
      </c>
      <c r="J59" s="98">
        <v>21</v>
      </c>
      <c r="K59" s="98">
        <v>3.4</v>
      </c>
      <c r="L59" s="99">
        <f t="shared" si="5"/>
        <v>24.4</v>
      </c>
      <c r="M59" s="41">
        <v>0.56999999999999995</v>
      </c>
      <c r="N59" s="41">
        <f t="shared" si="6"/>
        <v>19.448399999999996</v>
      </c>
    </row>
    <row r="60" spans="1:14" ht="21" customHeight="1">
      <c r="A60" s="22"/>
      <c r="B60" s="22"/>
      <c r="C60" s="22">
        <v>6</v>
      </c>
      <c r="D60" s="86" t="s">
        <v>651</v>
      </c>
      <c r="E60" s="87">
        <v>30</v>
      </c>
      <c r="F60" s="88">
        <v>0.1</v>
      </c>
      <c r="G60" s="206"/>
      <c r="H60" s="87">
        <v>50</v>
      </c>
      <c r="I60" s="22">
        <v>1</v>
      </c>
      <c r="J60" s="98">
        <v>10.5</v>
      </c>
      <c r="K60" s="98">
        <v>1.3</v>
      </c>
      <c r="L60" s="99">
        <f t="shared" si="5"/>
        <v>11.8</v>
      </c>
      <c r="M60" s="41">
        <v>0.56999999999999995</v>
      </c>
      <c r="N60" s="41">
        <f t="shared" si="6"/>
        <v>19.448399999999996</v>
      </c>
    </row>
    <row r="61" spans="1:14" ht="21" customHeight="1">
      <c r="A61" s="22"/>
      <c r="B61" s="22"/>
      <c r="C61" s="22">
        <v>7</v>
      </c>
      <c r="D61" s="86" t="s">
        <v>652</v>
      </c>
      <c r="E61" s="87">
        <v>50</v>
      </c>
      <c r="F61" s="88">
        <v>0.2</v>
      </c>
      <c r="G61" s="206"/>
      <c r="H61" s="87">
        <v>50</v>
      </c>
      <c r="I61" s="22">
        <v>1</v>
      </c>
      <c r="J61" s="98">
        <v>12</v>
      </c>
      <c r="K61" s="98">
        <v>1.6</v>
      </c>
      <c r="L61" s="99">
        <f t="shared" si="5"/>
        <v>13.6</v>
      </c>
      <c r="M61" s="41">
        <v>0.56999999999999995</v>
      </c>
      <c r="N61" s="41">
        <f t="shared" si="6"/>
        <v>19.448399999999996</v>
      </c>
    </row>
    <row r="62" spans="1:14" ht="21" customHeight="1">
      <c r="A62" s="22"/>
      <c r="B62" s="22"/>
      <c r="C62" s="22">
        <v>8</v>
      </c>
      <c r="D62" s="86" t="s">
        <v>191</v>
      </c>
      <c r="E62" s="87">
        <v>56</v>
      </c>
      <c r="F62" s="88">
        <v>0.6</v>
      </c>
      <c r="G62" s="206"/>
      <c r="H62" s="87">
        <v>50</v>
      </c>
      <c r="I62" s="22">
        <v>1</v>
      </c>
      <c r="J62" s="98">
        <v>18</v>
      </c>
      <c r="K62" s="98">
        <v>2.8</v>
      </c>
      <c r="L62" s="99">
        <f t="shared" si="5"/>
        <v>20.8</v>
      </c>
      <c r="M62" s="41">
        <v>0.56999999999999995</v>
      </c>
      <c r="N62" s="41">
        <f t="shared" si="6"/>
        <v>19.448399999999996</v>
      </c>
    </row>
    <row r="63" spans="1:14" ht="21" customHeight="1">
      <c r="A63" s="22"/>
      <c r="B63" s="22"/>
      <c r="C63" s="22">
        <v>9</v>
      </c>
      <c r="D63" s="86" t="s">
        <v>653</v>
      </c>
      <c r="E63" s="87">
        <v>58</v>
      </c>
      <c r="F63" s="88">
        <v>0.6</v>
      </c>
      <c r="G63" s="206"/>
      <c r="H63" s="87">
        <v>50</v>
      </c>
      <c r="I63" s="22">
        <v>1</v>
      </c>
      <c r="J63" s="98">
        <v>18</v>
      </c>
      <c r="K63" s="98">
        <v>2.8</v>
      </c>
      <c r="L63" s="99">
        <f t="shared" si="5"/>
        <v>20.8</v>
      </c>
      <c r="M63" s="41">
        <v>0.56999999999999995</v>
      </c>
      <c r="N63" s="41">
        <f t="shared" si="6"/>
        <v>19.448399999999996</v>
      </c>
    </row>
    <row r="64" spans="1:14" ht="21" customHeight="1">
      <c r="A64" s="22"/>
      <c r="B64" s="22"/>
      <c r="C64" s="22">
        <v>10</v>
      </c>
      <c r="D64" s="86" t="s">
        <v>330</v>
      </c>
      <c r="E64" s="87">
        <v>60</v>
      </c>
      <c r="F64" s="88">
        <v>0.2</v>
      </c>
      <c r="G64" s="206"/>
      <c r="H64" s="87">
        <v>50</v>
      </c>
      <c r="I64" s="22">
        <v>1</v>
      </c>
      <c r="J64" s="98">
        <v>12</v>
      </c>
      <c r="K64" s="98">
        <v>1.6</v>
      </c>
      <c r="L64" s="99">
        <f t="shared" si="5"/>
        <v>13.6</v>
      </c>
      <c r="M64" s="41">
        <v>0.56999999999999995</v>
      </c>
      <c r="N64" s="41">
        <f t="shared" si="6"/>
        <v>19.448399999999996</v>
      </c>
    </row>
    <row r="65" spans="1:14" ht="21" customHeight="1">
      <c r="A65" s="22"/>
      <c r="B65" s="22"/>
      <c r="C65" s="22">
        <v>11</v>
      </c>
      <c r="D65" s="86" t="s">
        <v>654</v>
      </c>
      <c r="E65" s="87">
        <v>67</v>
      </c>
      <c r="F65" s="88">
        <v>0.1</v>
      </c>
      <c r="G65" s="206"/>
      <c r="H65" s="87">
        <v>50</v>
      </c>
      <c r="I65" s="22">
        <v>1</v>
      </c>
      <c r="J65" s="98">
        <v>10.5</v>
      </c>
      <c r="K65" s="98">
        <v>1.3</v>
      </c>
      <c r="L65" s="99">
        <f t="shared" si="5"/>
        <v>11.8</v>
      </c>
      <c r="M65" s="41">
        <v>0.56999999999999995</v>
      </c>
      <c r="N65" s="41">
        <f t="shared" si="6"/>
        <v>19.448399999999996</v>
      </c>
    </row>
    <row r="66" spans="1:14" ht="21" customHeight="1">
      <c r="A66" s="22"/>
      <c r="B66" s="22"/>
      <c r="C66" s="22">
        <v>12</v>
      </c>
      <c r="D66" s="86" t="s">
        <v>264</v>
      </c>
      <c r="E66" s="87">
        <v>52</v>
      </c>
      <c r="F66" s="88">
        <v>1</v>
      </c>
      <c r="G66" s="206"/>
      <c r="H66" s="87">
        <v>50</v>
      </c>
      <c r="I66" s="22">
        <v>1</v>
      </c>
      <c r="J66" s="98">
        <v>24</v>
      </c>
      <c r="K66" s="98">
        <v>4</v>
      </c>
      <c r="L66" s="99">
        <f t="shared" si="5"/>
        <v>28</v>
      </c>
      <c r="M66" s="41">
        <v>0.56999999999999995</v>
      </c>
      <c r="N66" s="41">
        <f t="shared" si="6"/>
        <v>19.448399999999996</v>
      </c>
    </row>
    <row r="67" spans="1:14" ht="21" customHeight="1">
      <c r="A67" s="22"/>
      <c r="B67" s="22"/>
      <c r="C67" s="22">
        <v>13</v>
      </c>
      <c r="D67" s="86" t="s">
        <v>640</v>
      </c>
      <c r="E67" s="87">
        <v>140</v>
      </c>
      <c r="F67" s="88">
        <v>1.4</v>
      </c>
      <c r="G67" s="206"/>
      <c r="H67" s="87">
        <v>100</v>
      </c>
      <c r="I67" s="22">
        <v>1</v>
      </c>
      <c r="J67" s="98">
        <v>31</v>
      </c>
      <c r="K67" s="98">
        <v>5.2</v>
      </c>
      <c r="L67" s="99">
        <f t="shared" si="5"/>
        <v>36.200000000000003</v>
      </c>
      <c r="M67" s="41">
        <v>0.76</v>
      </c>
      <c r="N67" s="41">
        <f t="shared" si="6"/>
        <v>25.931199999999997</v>
      </c>
    </row>
    <row r="68" spans="1:14" ht="21" customHeight="1">
      <c r="A68" s="22"/>
      <c r="B68" s="22"/>
      <c r="C68" s="22">
        <v>14</v>
      </c>
      <c r="D68" s="86" t="s">
        <v>655</v>
      </c>
      <c r="E68" s="87">
        <v>70</v>
      </c>
      <c r="F68" s="88">
        <v>1</v>
      </c>
      <c r="G68" s="206"/>
      <c r="H68" s="687">
        <v>100</v>
      </c>
      <c r="I68" s="22">
        <v>1</v>
      </c>
      <c r="J68" s="656">
        <v>28</v>
      </c>
      <c r="K68" s="656">
        <v>4.5999999999999996</v>
      </c>
      <c r="L68" s="685">
        <f t="shared" si="5"/>
        <v>32.6</v>
      </c>
      <c r="M68" s="763">
        <v>0.76</v>
      </c>
      <c r="N68" s="763">
        <f t="shared" si="6"/>
        <v>25.931199999999997</v>
      </c>
    </row>
    <row r="69" spans="1:14" ht="21" customHeight="1">
      <c r="A69" s="22"/>
      <c r="B69" s="22"/>
      <c r="C69" s="22">
        <v>15</v>
      </c>
      <c r="D69" s="86" t="s">
        <v>656</v>
      </c>
      <c r="E69" s="87">
        <v>23</v>
      </c>
      <c r="F69" s="88">
        <v>0.2</v>
      </c>
      <c r="G69" s="104"/>
      <c r="H69" s="687"/>
      <c r="I69" s="22">
        <v>1</v>
      </c>
      <c r="J69" s="656"/>
      <c r="K69" s="656"/>
      <c r="L69" s="685"/>
      <c r="M69" s="763"/>
      <c r="N69" s="763"/>
    </row>
    <row r="70" spans="1:14" ht="21" customHeight="1">
      <c r="A70" s="22"/>
      <c r="B70" s="22"/>
      <c r="C70" s="22">
        <v>16</v>
      </c>
      <c r="D70" s="86" t="s">
        <v>657</v>
      </c>
      <c r="E70" s="87">
        <v>81</v>
      </c>
      <c r="F70" s="88">
        <v>0.2</v>
      </c>
      <c r="G70" s="206"/>
      <c r="H70" s="87">
        <v>100</v>
      </c>
      <c r="I70" s="22">
        <v>1</v>
      </c>
      <c r="J70" s="98">
        <v>13</v>
      </c>
      <c r="K70" s="98">
        <v>1.6</v>
      </c>
      <c r="L70" s="99">
        <f>K70+J70</f>
        <v>14.6</v>
      </c>
      <c r="M70" s="41">
        <v>0.76</v>
      </c>
      <c r="N70" s="41">
        <f t="shared" si="6"/>
        <v>25.931199999999997</v>
      </c>
    </row>
    <row r="71" spans="1:14" ht="21" customHeight="1">
      <c r="A71" s="22"/>
      <c r="B71" s="22"/>
      <c r="C71" s="22">
        <v>17</v>
      </c>
      <c r="D71" s="86" t="s">
        <v>658</v>
      </c>
      <c r="E71" s="87">
        <v>61</v>
      </c>
      <c r="F71" s="88">
        <v>1</v>
      </c>
      <c r="G71" s="104"/>
      <c r="H71" s="87">
        <v>100</v>
      </c>
      <c r="I71" s="22">
        <v>1</v>
      </c>
      <c r="J71" s="98">
        <v>25</v>
      </c>
      <c r="K71" s="98">
        <v>4</v>
      </c>
      <c r="L71" s="99">
        <f>K71+J71</f>
        <v>29</v>
      </c>
      <c r="M71" s="41">
        <v>0.76</v>
      </c>
      <c r="N71" s="41">
        <f t="shared" si="6"/>
        <v>25.931199999999997</v>
      </c>
    </row>
    <row r="72" spans="1:14" ht="21" customHeight="1">
      <c r="A72" s="29"/>
      <c r="B72" s="29"/>
      <c r="C72" s="29">
        <v>18</v>
      </c>
      <c r="D72" s="91" t="s">
        <v>619</v>
      </c>
      <c r="E72" s="92">
        <v>115</v>
      </c>
      <c r="F72" s="93">
        <v>0.2</v>
      </c>
      <c r="G72" s="105"/>
      <c r="H72" s="92">
        <v>100</v>
      </c>
      <c r="I72" s="29">
        <v>1</v>
      </c>
      <c r="J72" s="102">
        <v>13</v>
      </c>
      <c r="K72" s="102">
        <v>1.6</v>
      </c>
      <c r="L72" s="103">
        <f t="shared" ref="L72:L88" si="7">K72+J72</f>
        <v>14.6</v>
      </c>
      <c r="M72" s="42">
        <v>0.76</v>
      </c>
      <c r="N72" s="42">
        <f t="shared" si="6"/>
        <v>25.931199999999997</v>
      </c>
    </row>
    <row r="73" spans="1:14" ht="29.25" customHeight="1">
      <c r="A73" s="691" t="s">
        <v>647</v>
      </c>
      <c r="B73" s="691"/>
      <c r="C73" s="691"/>
      <c r="D73" s="691"/>
      <c r="E73" s="691"/>
      <c r="F73" s="691"/>
      <c r="G73" s="691"/>
      <c r="H73" s="691"/>
      <c r="I73" s="691"/>
      <c r="J73" s="691"/>
      <c r="K73" s="691"/>
      <c r="L73" s="691"/>
    </row>
    <row r="74" spans="1:14" s="5" customFormat="1" ht="27.75" customHeight="1">
      <c r="A74" s="654" t="s">
        <v>1</v>
      </c>
      <c r="B74" s="632" t="s">
        <v>755</v>
      </c>
      <c r="C74" s="646" t="s">
        <v>21</v>
      </c>
      <c r="D74" s="647"/>
      <c r="E74" s="652" t="s">
        <v>756</v>
      </c>
      <c r="F74" s="654" t="s">
        <v>3</v>
      </c>
      <c r="G74" s="654"/>
      <c r="H74" s="654"/>
      <c r="I74" s="654"/>
      <c r="J74" s="654" t="s">
        <v>761</v>
      </c>
      <c r="K74" s="654"/>
      <c r="L74" s="654"/>
      <c r="M74" s="759" t="s">
        <v>752</v>
      </c>
      <c r="N74" s="760"/>
    </row>
    <row r="75" spans="1:14" s="5" customFormat="1" ht="40.5" customHeight="1">
      <c r="A75" s="654"/>
      <c r="B75" s="633"/>
      <c r="C75" s="648"/>
      <c r="D75" s="649"/>
      <c r="E75" s="652"/>
      <c r="F75" s="652" t="s">
        <v>757</v>
      </c>
      <c r="G75" s="652" t="s">
        <v>5</v>
      </c>
      <c r="H75" s="652" t="s">
        <v>6</v>
      </c>
      <c r="I75" s="652"/>
      <c r="J75" s="652" t="s">
        <v>22</v>
      </c>
      <c r="K75" s="652" t="s">
        <v>762</v>
      </c>
      <c r="L75" s="654" t="s">
        <v>8</v>
      </c>
      <c r="M75" s="761"/>
      <c r="N75" s="762"/>
    </row>
    <row r="76" spans="1:14" s="5" customFormat="1" ht="58.5" customHeight="1">
      <c r="A76" s="632"/>
      <c r="B76" s="634"/>
      <c r="C76" s="650"/>
      <c r="D76" s="651"/>
      <c r="E76" s="653"/>
      <c r="F76" s="653"/>
      <c r="G76" s="653"/>
      <c r="H76" s="381" t="s">
        <v>9</v>
      </c>
      <c r="I76" s="381" t="s">
        <v>10</v>
      </c>
      <c r="J76" s="653"/>
      <c r="K76" s="632"/>
      <c r="L76" s="632"/>
      <c r="M76" s="113" t="s">
        <v>753</v>
      </c>
      <c r="N76" s="114" t="s">
        <v>754</v>
      </c>
    </row>
    <row r="77" spans="1:14" ht="22.5" customHeight="1">
      <c r="A77" s="15"/>
      <c r="B77" s="35" t="s">
        <v>840</v>
      </c>
      <c r="C77" s="15">
        <v>19</v>
      </c>
      <c r="D77" s="301" t="s">
        <v>114</v>
      </c>
      <c r="E77" s="52">
        <v>50</v>
      </c>
      <c r="F77" s="215">
        <v>0.6</v>
      </c>
      <c r="G77" s="333"/>
      <c r="H77" s="15">
        <v>50</v>
      </c>
      <c r="I77" s="15">
        <v>1</v>
      </c>
      <c r="J77" s="53">
        <v>18</v>
      </c>
      <c r="K77" s="47">
        <v>2.8</v>
      </c>
      <c r="L77" s="47">
        <v>20.8</v>
      </c>
      <c r="M77" s="305">
        <v>0.56999999999999995</v>
      </c>
      <c r="N77" s="305">
        <f>M77*34.12</f>
        <v>19.448399999999996</v>
      </c>
    </row>
    <row r="78" spans="1:14" ht="22.5" customHeight="1">
      <c r="A78" s="22"/>
      <c r="B78" s="54" t="s">
        <v>841</v>
      </c>
      <c r="C78" s="22">
        <v>20</v>
      </c>
      <c r="D78" s="86" t="s">
        <v>659</v>
      </c>
      <c r="E78" s="87">
        <v>450</v>
      </c>
      <c r="F78" s="88">
        <v>2</v>
      </c>
      <c r="G78" s="104"/>
      <c r="H78" s="87">
        <v>160</v>
      </c>
      <c r="I78" s="22">
        <v>2</v>
      </c>
      <c r="J78" s="98">
        <v>52</v>
      </c>
      <c r="K78" s="98">
        <v>8</v>
      </c>
      <c r="L78" s="99">
        <f t="shared" ref="L78" si="8">K78+J78</f>
        <v>60</v>
      </c>
      <c r="M78" s="305">
        <v>0.8</v>
      </c>
      <c r="N78" s="305">
        <f t="shared" ref="N78:N88" si="9">M78*34.12</f>
        <v>27.295999999999999</v>
      </c>
    </row>
    <row r="79" spans="1:14" ht="22.5" customHeight="1">
      <c r="A79" s="22"/>
      <c r="B79" s="24"/>
      <c r="C79" s="22">
        <v>21</v>
      </c>
      <c r="D79" s="86" t="s">
        <v>660</v>
      </c>
      <c r="E79" s="87">
        <v>71</v>
      </c>
      <c r="F79" s="88">
        <v>0.2</v>
      </c>
      <c r="G79" s="104"/>
      <c r="H79" s="87">
        <v>100</v>
      </c>
      <c r="I79" s="22">
        <v>1</v>
      </c>
      <c r="J79" s="98">
        <v>13</v>
      </c>
      <c r="K79" s="98">
        <v>1.6</v>
      </c>
      <c r="L79" s="99">
        <f t="shared" si="7"/>
        <v>14.6</v>
      </c>
      <c r="M79" s="305">
        <v>0.76</v>
      </c>
      <c r="N79" s="305">
        <f t="shared" si="9"/>
        <v>25.931199999999997</v>
      </c>
    </row>
    <row r="80" spans="1:14" ht="22.5" customHeight="1">
      <c r="A80" s="22"/>
      <c r="B80" s="22"/>
      <c r="C80" s="22">
        <v>22</v>
      </c>
      <c r="D80" s="86" t="s">
        <v>661</v>
      </c>
      <c r="E80" s="87">
        <v>44</v>
      </c>
      <c r="F80" s="88">
        <v>0.2</v>
      </c>
      <c r="G80" s="104"/>
      <c r="H80" s="87">
        <v>50</v>
      </c>
      <c r="I80" s="22">
        <v>1</v>
      </c>
      <c r="J80" s="98">
        <v>12</v>
      </c>
      <c r="K80" s="98">
        <v>1.6</v>
      </c>
      <c r="L80" s="99">
        <f t="shared" si="7"/>
        <v>13.6</v>
      </c>
      <c r="M80" s="305">
        <v>0.56999999999999995</v>
      </c>
      <c r="N80" s="305">
        <f t="shared" si="9"/>
        <v>19.448399999999996</v>
      </c>
    </row>
    <row r="81" spans="1:14" ht="22.5" customHeight="1">
      <c r="A81" s="22"/>
      <c r="B81" s="22"/>
      <c r="C81" s="22">
        <v>23</v>
      </c>
      <c r="D81" s="86" t="s">
        <v>91</v>
      </c>
      <c r="E81" s="87">
        <v>164</v>
      </c>
      <c r="F81" s="88">
        <v>0.3</v>
      </c>
      <c r="G81" s="104"/>
      <c r="H81" s="87">
        <v>160</v>
      </c>
      <c r="I81" s="22">
        <v>1</v>
      </c>
      <c r="J81" s="98">
        <v>15.5</v>
      </c>
      <c r="K81" s="98">
        <v>1.9</v>
      </c>
      <c r="L81" s="99">
        <f t="shared" si="7"/>
        <v>17.399999999999999</v>
      </c>
      <c r="M81" s="305">
        <v>0.8</v>
      </c>
      <c r="N81" s="305">
        <f t="shared" si="9"/>
        <v>27.295999999999999</v>
      </c>
    </row>
    <row r="82" spans="1:14" ht="22.5" customHeight="1">
      <c r="A82" s="22"/>
      <c r="B82" s="22"/>
      <c r="C82" s="22">
        <v>24</v>
      </c>
      <c r="D82" s="86" t="s">
        <v>527</v>
      </c>
      <c r="E82" s="87">
        <v>77</v>
      </c>
      <c r="F82" s="88">
        <v>0.4</v>
      </c>
      <c r="G82" s="104"/>
      <c r="H82" s="87">
        <v>100</v>
      </c>
      <c r="I82" s="22">
        <v>1</v>
      </c>
      <c r="J82" s="98">
        <v>16</v>
      </c>
      <c r="K82" s="98">
        <v>2.2000000000000002</v>
      </c>
      <c r="L82" s="99">
        <f t="shared" si="7"/>
        <v>18.2</v>
      </c>
      <c r="M82" s="305">
        <v>0.76</v>
      </c>
      <c r="N82" s="305">
        <f t="shared" si="9"/>
        <v>25.931199999999997</v>
      </c>
    </row>
    <row r="83" spans="1:14" ht="22.5" customHeight="1">
      <c r="A83" s="22"/>
      <c r="B83" s="22"/>
      <c r="C83" s="22">
        <v>25</v>
      </c>
      <c r="D83" s="86" t="s">
        <v>277</v>
      </c>
      <c r="E83" s="87">
        <v>96</v>
      </c>
      <c r="F83" s="88">
        <v>0.3</v>
      </c>
      <c r="G83" s="104"/>
      <c r="H83" s="87">
        <v>100</v>
      </c>
      <c r="I83" s="22">
        <v>1</v>
      </c>
      <c r="J83" s="98">
        <v>14.5</v>
      </c>
      <c r="K83" s="98">
        <v>1.9</v>
      </c>
      <c r="L83" s="99">
        <f t="shared" si="7"/>
        <v>16.399999999999999</v>
      </c>
      <c r="M83" s="305">
        <v>0.76</v>
      </c>
      <c r="N83" s="305">
        <f t="shared" si="9"/>
        <v>25.931199999999997</v>
      </c>
    </row>
    <row r="84" spans="1:14" ht="22.5" customHeight="1">
      <c r="A84" s="22"/>
      <c r="B84" s="22"/>
      <c r="C84" s="22">
        <v>26</v>
      </c>
      <c r="D84" s="100" t="s">
        <v>323</v>
      </c>
      <c r="E84" s="87">
        <v>88</v>
      </c>
      <c r="F84" s="88">
        <v>0.2</v>
      </c>
      <c r="G84" s="104"/>
      <c r="H84" s="87">
        <v>100</v>
      </c>
      <c r="I84" s="22">
        <v>1</v>
      </c>
      <c r="J84" s="98">
        <v>13</v>
      </c>
      <c r="K84" s="98">
        <v>1.6</v>
      </c>
      <c r="L84" s="99">
        <f t="shared" si="7"/>
        <v>14.6</v>
      </c>
      <c r="M84" s="305">
        <v>0.76</v>
      </c>
      <c r="N84" s="305">
        <f t="shared" si="9"/>
        <v>25.931199999999997</v>
      </c>
    </row>
    <row r="85" spans="1:14" ht="22.5" customHeight="1">
      <c r="A85" s="22"/>
      <c r="B85" s="22"/>
      <c r="C85" s="22">
        <v>27</v>
      </c>
      <c r="D85" s="86" t="s">
        <v>546</v>
      </c>
      <c r="E85" s="87">
        <v>97</v>
      </c>
      <c r="F85" s="88">
        <v>0.3</v>
      </c>
      <c r="G85" s="104"/>
      <c r="H85" s="87">
        <v>100</v>
      </c>
      <c r="I85" s="22">
        <v>1</v>
      </c>
      <c r="J85" s="98">
        <v>14.5</v>
      </c>
      <c r="K85" s="98">
        <v>1.9</v>
      </c>
      <c r="L85" s="99">
        <f t="shared" si="7"/>
        <v>16.399999999999999</v>
      </c>
      <c r="M85" s="305">
        <v>0.76</v>
      </c>
      <c r="N85" s="305">
        <f t="shared" si="9"/>
        <v>25.931199999999997</v>
      </c>
    </row>
    <row r="86" spans="1:14" ht="22.5" customHeight="1">
      <c r="A86" s="22"/>
      <c r="B86" s="22"/>
      <c r="C86" s="22">
        <v>28</v>
      </c>
      <c r="D86" s="86" t="s">
        <v>662</v>
      </c>
      <c r="E86" s="87">
        <v>89</v>
      </c>
      <c r="F86" s="88">
        <v>0.7</v>
      </c>
      <c r="G86" s="104"/>
      <c r="H86" s="87">
        <v>100</v>
      </c>
      <c r="I86" s="22">
        <v>1</v>
      </c>
      <c r="J86" s="98">
        <v>20.5</v>
      </c>
      <c r="K86" s="98">
        <v>3.1</v>
      </c>
      <c r="L86" s="99">
        <f t="shared" si="7"/>
        <v>23.6</v>
      </c>
      <c r="M86" s="305">
        <v>0.76</v>
      </c>
      <c r="N86" s="305">
        <f t="shared" si="9"/>
        <v>25.931199999999997</v>
      </c>
    </row>
    <row r="87" spans="1:14" ht="22.5" customHeight="1">
      <c r="A87" s="22"/>
      <c r="B87" s="22"/>
      <c r="C87" s="22">
        <v>29</v>
      </c>
      <c r="D87" s="86" t="s">
        <v>663</v>
      </c>
      <c r="E87" s="87">
        <v>80</v>
      </c>
      <c r="F87" s="88">
        <v>1.5</v>
      </c>
      <c r="G87" s="104"/>
      <c r="H87" s="87">
        <v>100</v>
      </c>
      <c r="I87" s="22">
        <v>1</v>
      </c>
      <c r="J87" s="98">
        <v>32.5</v>
      </c>
      <c r="K87" s="98">
        <v>5.5</v>
      </c>
      <c r="L87" s="99">
        <f t="shared" si="7"/>
        <v>38</v>
      </c>
      <c r="M87" s="305">
        <v>0.76</v>
      </c>
      <c r="N87" s="305">
        <f t="shared" si="9"/>
        <v>25.931199999999997</v>
      </c>
    </row>
    <row r="88" spans="1:14" ht="21" customHeight="1">
      <c r="A88" s="29"/>
      <c r="B88" s="29"/>
      <c r="C88" s="29">
        <v>30</v>
      </c>
      <c r="D88" s="91" t="s">
        <v>664</v>
      </c>
      <c r="E88" s="92">
        <v>198</v>
      </c>
      <c r="F88" s="93">
        <v>0.5</v>
      </c>
      <c r="G88" s="105"/>
      <c r="H88" s="92">
        <v>200</v>
      </c>
      <c r="I88" s="29">
        <v>1</v>
      </c>
      <c r="J88" s="102">
        <v>18.5</v>
      </c>
      <c r="K88" s="102">
        <v>2.5</v>
      </c>
      <c r="L88" s="103">
        <f t="shared" si="7"/>
        <v>21</v>
      </c>
      <c r="M88" s="305">
        <v>1</v>
      </c>
      <c r="N88" s="305">
        <f t="shared" si="9"/>
        <v>34.119999999999997</v>
      </c>
    </row>
    <row r="89" spans="1:14" s="71" customFormat="1" ht="28.5" customHeight="1">
      <c r="A89" s="64" t="s">
        <v>856</v>
      </c>
      <c r="B89" s="64" t="s">
        <v>759</v>
      </c>
      <c r="C89" s="64"/>
      <c r="D89" s="65" t="s">
        <v>776</v>
      </c>
      <c r="E89" s="115">
        <f>SUM(E55:E88)</f>
        <v>2765</v>
      </c>
      <c r="F89" s="116">
        <f>SUM(F55:F88)</f>
        <v>17.949999999999996</v>
      </c>
      <c r="G89" s="116"/>
      <c r="H89" s="115">
        <f>SUM(H55:H88)</f>
        <v>2620</v>
      </c>
      <c r="I89" s="1">
        <f>SUM(I55:I88)</f>
        <v>31</v>
      </c>
      <c r="J89" s="117">
        <f>SUM(J55:J88)</f>
        <v>562.75</v>
      </c>
      <c r="K89" s="117">
        <f>SUM(K55:K88)</f>
        <v>83.850000000000023</v>
      </c>
      <c r="L89" s="117">
        <f>SUM(L55:L88)</f>
        <v>646.60000000000014</v>
      </c>
      <c r="M89" s="118">
        <f t="shared" ref="M89:N89" si="10">SUM(M55:M88)</f>
        <v>20.320000000000011</v>
      </c>
      <c r="N89" s="118">
        <f t="shared" si="10"/>
        <v>693.31839999999977</v>
      </c>
    </row>
    <row r="90" spans="1:14" s="122" customFormat="1" ht="28.5" customHeight="1">
      <c r="A90" s="64"/>
      <c r="B90" s="64" t="s">
        <v>759</v>
      </c>
      <c r="C90" s="64"/>
      <c r="D90" s="65" t="s">
        <v>842</v>
      </c>
      <c r="E90" s="1">
        <f>E89+E47</f>
        <v>5735</v>
      </c>
      <c r="F90" s="119">
        <f>F89+F47</f>
        <v>44.72999999999999</v>
      </c>
      <c r="G90" s="1"/>
      <c r="H90" s="1">
        <f t="shared" ref="H90:M90" si="11">H89+H47</f>
        <v>5940</v>
      </c>
      <c r="I90" s="1">
        <f t="shared" si="11"/>
        <v>67</v>
      </c>
      <c r="J90" s="120">
        <f t="shared" si="11"/>
        <v>1316.45</v>
      </c>
      <c r="K90" s="120">
        <f t="shared" si="11"/>
        <v>200.19</v>
      </c>
      <c r="L90" s="120">
        <f t="shared" si="11"/>
        <v>1516.6400000000003</v>
      </c>
      <c r="M90" s="121">
        <f t="shared" si="11"/>
        <v>45.680000000000021</v>
      </c>
      <c r="N90" s="121">
        <f t="shared" ref="N90" si="12">N89+N47</f>
        <v>1558.6015999999995</v>
      </c>
    </row>
    <row r="91" spans="1:14">
      <c r="A91" s="33"/>
      <c r="B91" s="33"/>
      <c r="C91" s="33"/>
      <c r="E91" s="33"/>
      <c r="F91" s="33"/>
      <c r="G91" s="33"/>
      <c r="H91" s="33"/>
      <c r="I91" s="96"/>
      <c r="J91" s="96"/>
      <c r="K91" s="96"/>
    </row>
    <row r="92" spans="1:14">
      <c r="A92" s="33"/>
      <c r="B92" s="33"/>
      <c r="C92" s="33"/>
      <c r="E92" s="33"/>
      <c r="F92" s="33"/>
      <c r="G92" s="33"/>
      <c r="H92" s="33"/>
      <c r="I92" s="96"/>
      <c r="J92" s="96"/>
      <c r="K92" s="96"/>
    </row>
    <row r="93" spans="1:14">
      <c r="A93" s="33"/>
      <c r="B93" s="33"/>
      <c r="C93" s="33"/>
      <c r="E93" s="33"/>
      <c r="F93" s="33"/>
      <c r="G93" s="33"/>
      <c r="H93" s="33"/>
      <c r="I93" s="96"/>
      <c r="J93" s="96"/>
      <c r="K93" s="96"/>
    </row>
    <row r="94" spans="1:14">
      <c r="A94" s="33"/>
      <c r="B94" s="33"/>
      <c r="C94" s="33"/>
      <c r="E94" s="33"/>
      <c r="F94" s="33"/>
      <c r="G94" s="33"/>
      <c r="H94" s="33"/>
      <c r="I94" s="96"/>
      <c r="J94" s="96"/>
      <c r="K94" s="96"/>
    </row>
    <row r="95" spans="1:14">
      <c r="A95" s="33"/>
      <c r="B95" s="33"/>
      <c r="C95" s="33"/>
      <c r="E95" s="33"/>
      <c r="F95" s="33"/>
      <c r="G95" s="33"/>
      <c r="H95" s="33"/>
      <c r="I95" s="96"/>
      <c r="J95" s="96"/>
      <c r="K95" s="96"/>
    </row>
    <row r="96" spans="1:14">
      <c r="A96" s="33"/>
      <c r="B96" s="33"/>
      <c r="C96" s="33"/>
      <c r="E96" s="33"/>
      <c r="F96" s="33"/>
      <c r="G96" s="33"/>
      <c r="H96" s="33"/>
      <c r="I96" s="96"/>
      <c r="J96" s="96"/>
      <c r="K96" s="96"/>
    </row>
    <row r="97" spans="4:11">
      <c r="E97" s="33"/>
      <c r="F97" s="33"/>
      <c r="G97" s="33"/>
      <c r="H97" s="33"/>
      <c r="I97" s="33"/>
      <c r="J97" s="33"/>
      <c r="K97" s="33"/>
    </row>
    <row r="98" spans="4:11">
      <c r="E98" s="33"/>
      <c r="F98" s="33"/>
      <c r="G98" s="33"/>
      <c r="H98" s="33"/>
      <c r="I98" s="33"/>
      <c r="J98" s="33"/>
      <c r="K98" s="33"/>
    </row>
    <row r="99" spans="4:11">
      <c r="E99" s="33"/>
      <c r="F99" s="33"/>
      <c r="G99" s="33"/>
      <c r="H99" s="33"/>
      <c r="I99" s="33"/>
      <c r="J99" s="33"/>
      <c r="K99" s="33"/>
    </row>
    <row r="100" spans="4:11">
      <c r="E100" s="33"/>
      <c r="F100" s="33"/>
      <c r="G100" s="33"/>
      <c r="H100" s="33"/>
      <c r="I100" s="33"/>
      <c r="J100" s="33"/>
      <c r="K100" s="33"/>
    </row>
    <row r="101" spans="4:11">
      <c r="E101" s="33"/>
      <c r="F101" s="33"/>
      <c r="G101" s="33"/>
      <c r="H101" s="33"/>
      <c r="I101" s="33"/>
      <c r="J101" s="33"/>
      <c r="K101" s="33"/>
    </row>
    <row r="102" spans="4:11">
      <c r="D102" s="2"/>
      <c r="E102" s="2"/>
      <c r="F102" s="2"/>
      <c r="G102" s="2"/>
      <c r="H102" s="2"/>
      <c r="I102" s="2"/>
      <c r="J102" s="2"/>
    </row>
    <row r="103" spans="4:11">
      <c r="D103" s="2"/>
      <c r="E103" s="2"/>
      <c r="F103" s="2"/>
      <c r="G103" s="2"/>
      <c r="H103" s="2"/>
      <c r="I103" s="2"/>
      <c r="J103" s="2"/>
    </row>
    <row r="104" spans="4:11">
      <c r="D104" s="2"/>
      <c r="E104" s="2"/>
      <c r="F104" s="2"/>
      <c r="G104" s="2"/>
      <c r="H104" s="2"/>
      <c r="I104" s="2"/>
      <c r="J104" s="2"/>
    </row>
    <row r="105" spans="4:11">
      <c r="D105" s="2"/>
      <c r="E105" s="2"/>
      <c r="F105" s="2"/>
      <c r="G105" s="2"/>
      <c r="H105" s="2"/>
      <c r="I105" s="2"/>
      <c r="J105" s="2"/>
    </row>
    <row r="106" spans="4:11">
      <c r="D106" s="2"/>
      <c r="E106" s="2"/>
      <c r="F106" s="2"/>
      <c r="G106" s="2"/>
      <c r="H106" s="2"/>
      <c r="I106" s="2"/>
      <c r="J106" s="2"/>
    </row>
    <row r="107" spans="4:11">
      <c r="D107" s="2"/>
      <c r="E107" s="2"/>
      <c r="F107" s="2"/>
      <c r="G107" s="2"/>
      <c r="H107" s="2"/>
      <c r="I107" s="2"/>
      <c r="J107" s="2"/>
    </row>
    <row r="108" spans="4:11">
      <c r="D108" s="2"/>
      <c r="E108" s="2"/>
      <c r="F108" s="2"/>
      <c r="G108" s="2"/>
      <c r="H108" s="2"/>
      <c r="I108" s="2"/>
      <c r="J108" s="2"/>
    </row>
    <row r="109" spans="4:11">
      <c r="D109" s="2"/>
      <c r="E109" s="2"/>
      <c r="F109" s="2"/>
      <c r="G109" s="2"/>
      <c r="H109" s="2"/>
      <c r="I109" s="2"/>
      <c r="J109" s="2"/>
    </row>
    <row r="110" spans="4:11">
      <c r="D110" s="2"/>
      <c r="E110" s="2"/>
      <c r="F110" s="2"/>
      <c r="G110" s="2"/>
      <c r="H110" s="2"/>
      <c r="I110" s="2"/>
      <c r="J110" s="2"/>
    </row>
    <row r="111" spans="4:11">
      <c r="D111" s="2"/>
      <c r="E111" s="2"/>
      <c r="F111" s="2"/>
      <c r="G111" s="2"/>
      <c r="H111" s="2"/>
      <c r="I111" s="2"/>
      <c r="J111" s="2"/>
    </row>
    <row r="112" spans="4:11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</sheetData>
  <mergeCells count="64">
    <mergeCell ref="E28:E30"/>
    <mergeCell ref="F28:I28"/>
    <mergeCell ref="J28:L28"/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B3:B5"/>
    <mergeCell ref="C3:D5"/>
    <mergeCell ref="C52:D54"/>
    <mergeCell ref="A51:L51"/>
    <mergeCell ref="A52:A54"/>
    <mergeCell ref="E52:E54"/>
    <mergeCell ref="F52:I52"/>
    <mergeCell ref="J52:L52"/>
    <mergeCell ref="F53:F54"/>
    <mergeCell ref="G53:G54"/>
    <mergeCell ref="H53:I53"/>
    <mergeCell ref="A74:A76"/>
    <mergeCell ref="E74:E76"/>
    <mergeCell ref="F74:I74"/>
    <mergeCell ref="J74:L74"/>
    <mergeCell ref="F75:F76"/>
    <mergeCell ref="G75:G76"/>
    <mergeCell ref="H75:I75"/>
    <mergeCell ref="J75:J76"/>
    <mergeCell ref="K75:K76"/>
    <mergeCell ref="M3:N4"/>
    <mergeCell ref="B28:B30"/>
    <mergeCell ref="C28:D30"/>
    <mergeCell ref="M28:N29"/>
    <mergeCell ref="F29:F30"/>
    <mergeCell ref="G29:G30"/>
    <mergeCell ref="H29:I29"/>
    <mergeCell ref="J29:J30"/>
    <mergeCell ref="K29:K30"/>
    <mergeCell ref="L29:L30"/>
    <mergeCell ref="J4:J5"/>
    <mergeCell ref="K4:K5"/>
    <mergeCell ref="L4:L5"/>
    <mergeCell ref="A26:L26"/>
    <mergeCell ref="H27:J27"/>
    <mergeCell ref="A28:A30"/>
    <mergeCell ref="M52:N53"/>
    <mergeCell ref="B74:B76"/>
    <mergeCell ref="C74:D76"/>
    <mergeCell ref="M74:N75"/>
    <mergeCell ref="M68:M69"/>
    <mergeCell ref="N68:N69"/>
    <mergeCell ref="K68:K69"/>
    <mergeCell ref="L68:L69"/>
    <mergeCell ref="L75:L76"/>
    <mergeCell ref="B52:B54"/>
    <mergeCell ref="J53:J54"/>
    <mergeCell ref="K53:K54"/>
    <mergeCell ref="L53:L54"/>
    <mergeCell ref="H68:H69"/>
    <mergeCell ref="J68:J69"/>
    <mergeCell ref="A73:L73"/>
  </mergeCells>
  <pageMargins left="0.25" right="0" top="0.25" bottom="0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16"/>
  <sheetViews>
    <sheetView zoomScale="130" zoomScaleNormal="130" workbookViewId="0">
      <selection sqref="A1:L1"/>
    </sheetView>
  </sheetViews>
  <sheetFormatPr defaultRowHeight="16.5"/>
  <cols>
    <col min="1" max="1" width="4.7109375" style="72" customWidth="1"/>
    <col min="2" max="2" width="15.85546875" style="72" customWidth="1"/>
    <col min="3" max="3" width="4.7109375" style="72" customWidth="1"/>
    <col min="4" max="4" width="16.28515625" style="72" customWidth="1"/>
    <col min="5" max="5" width="8.140625" style="72" customWidth="1"/>
    <col min="6" max="6" width="9" style="72" customWidth="1"/>
    <col min="7" max="9" width="11.42578125" style="72" customWidth="1"/>
    <col min="10" max="10" width="10" style="72" customWidth="1"/>
    <col min="11" max="11" width="9.28515625" style="72" customWidth="1"/>
    <col min="12" max="12" width="10" style="72" customWidth="1"/>
    <col min="13" max="13" width="9.140625" style="419"/>
    <col min="14" max="14" width="9.42578125" style="419" customWidth="1"/>
    <col min="15" max="16384" width="9.140625" style="72"/>
  </cols>
  <sheetData>
    <row r="1" spans="1:14" ht="29.25" customHeight="1">
      <c r="A1" s="766" t="s">
        <v>665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746" t="s">
        <v>752</v>
      </c>
      <c r="N2" s="747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748"/>
      <c r="N3" s="749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439" t="s">
        <v>753</v>
      </c>
      <c r="N4" s="440" t="s">
        <v>754</v>
      </c>
    </row>
    <row r="5" spans="1:14" ht="21.95" customHeight="1">
      <c r="A5" s="82"/>
      <c r="B5" s="361" t="s">
        <v>11</v>
      </c>
      <c r="C5" s="82">
        <v>1</v>
      </c>
      <c r="D5" s="170" t="s">
        <v>421</v>
      </c>
      <c r="E5" s="19">
        <v>69</v>
      </c>
      <c r="F5" s="205">
        <v>0.9</v>
      </c>
      <c r="G5" s="17"/>
      <c r="H5" s="19">
        <v>50</v>
      </c>
      <c r="I5" s="19">
        <v>1</v>
      </c>
      <c r="J5" s="205">
        <v>22.5</v>
      </c>
      <c r="K5" s="205">
        <v>3.7</v>
      </c>
      <c r="L5" s="359">
        <f>K5+J5</f>
        <v>26.2</v>
      </c>
      <c r="M5" s="421">
        <v>0.56999999999999995</v>
      </c>
      <c r="N5" s="421">
        <f>M5*34.12</f>
        <v>19.448399999999996</v>
      </c>
    </row>
    <row r="6" spans="1:14" ht="21.95" customHeight="1">
      <c r="A6" s="87"/>
      <c r="B6" s="100" t="s">
        <v>846</v>
      </c>
      <c r="C6" s="87">
        <v>2</v>
      </c>
      <c r="D6" s="172" t="s">
        <v>422</v>
      </c>
      <c r="E6" s="25">
        <v>115</v>
      </c>
      <c r="F6" s="209">
        <v>0.9</v>
      </c>
      <c r="G6" s="23"/>
      <c r="H6" s="25">
        <v>100</v>
      </c>
      <c r="I6" s="25">
        <v>1</v>
      </c>
      <c r="J6" s="209">
        <v>23.5</v>
      </c>
      <c r="K6" s="209">
        <v>3.7</v>
      </c>
      <c r="L6" s="211">
        <f t="shared" ref="L6:L18" si="0">K6+J6</f>
        <v>27.2</v>
      </c>
      <c r="M6" s="422">
        <v>0.76</v>
      </c>
      <c r="N6" s="422">
        <f t="shared" ref="N6:N21" si="1">M6*34.12</f>
        <v>25.931199999999997</v>
      </c>
    </row>
    <row r="7" spans="1:14" ht="21.95" customHeight="1">
      <c r="A7" s="87"/>
      <c r="B7" s="87"/>
      <c r="C7" s="87">
        <v>3</v>
      </c>
      <c r="D7" s="86" t="s">
        <v>423</v>
      </c>
      <c r="E7" s="87">
        <v>75</v>
      </c>
      <c r="F7" s="88">
        <v>1.1000000000000001</v>
      </c>
      <c r="G7" s="110"/>
      <c r="H7" s="87">
        <v>100</v>
      </c>
      <c r="I7" s="87">
        <v>1</v>
      </c>
      <c r="J7" s="88">
        <v>26.5</v>
      </c>
      <c r="K7" s="88">
        <v>4.3</v>
      </c>
      <c r="L7" s="211">
        <f t="shared" si="0"/>
        <v>30.8</v>
      </c>
      <c r="M7" s="422">
        <v>0.76</v>
      </c>
      <c r="N7" s="422">
        <f t="shared" si="1"/>
        <v>25.931199999999997</v>
      </c>
    </row>
    <row r="8" spans="1:14" ht="21.95" customHeight="1">
      <c r="A8" s="87"/>
      <c r="B8" s="87"/>
      <c r="C8" s="87">
        <v>4</v>
      </c>
      <c r="D8" s="86" t="s">
        <v>424</v>
      </c>
      <c r="E8" s="87">
        <v>95</v>
      </c>
      <c r="F8" s="88">
        <v>1.3</v>
      </c>
      <c r="G8" s="110"/>
      <c r="H8" s="87">
        <v>100</v>
      </c>
      <c r="I8" s="87">
        <v>1</v>
      </c>
      <c r="J8" s="88">
        <v>29.5</v>
      </c>
      <c r="K8" s="88">
        <v>4.9000000000000004</v>
      </c>
      <c r="L8" s="211">
        <f t="shared" si="0"/>
        <v>34.4</v>
      </c>
      <c r="M8" s="422">
        <v>0.76</v>
      </c>
      <c r="N8" s="422">
        <f t="shared" si="1"/>
        <v>25.931199999999997</v>
      </c>
    </row>
    <row r="9" spans="1:14" ht="21.95" customHeight="1">
      <c r="A9" s="87"/>
      <c r="B9" s="87"/>
      <c r="C9" s="87">
        <v>5</v>
      </c>
      <c r="D9" s="86" t="s">
        <v>425</v>
      </c>
      <c r="E9" s="87">
        <v>78</v>
      </c>
      <c r="F9" s="88">
        <v>1.3</v>
      </c>
      <c r="G9" s="110"/>
      <c r="H9" s="87">
        <v>100</v>
      </c>
      <c r="I9" s="87">
        <v>1</v>
      </c>
      <c r="J9" s="88">
        <v>29.5</v>
      </c>
      <c r="K9" s="88">
        <v>4.9000000000000004</v>
      </c>
      <c r="L9" s="211">
        <f t="shared" si="0"/>
        <v>34.4</v>
      </c>
      <c r="M9" s="422">
        <v>0.76</v>
      </c>
      <c r="N9" s="422">
        <f t="shared" si="1"/>
        <v>25.931199999999997</v>
      </c>
    </row>
    <row r="10" spans="1:14" ht="21.95" customHeight="1">
      <c r="A10" s="87"/>
      <c r="B10" s="87"/>
      <c r="C10" s="87">
        <v>6</v>
      </c>
      <c r="D10" s="86" t="s">
        <v>426</v>
      </c>
      <c r="E10" s="87">
        <v>36</v>
      </c>
      <c r="F10" s="88">
        <v>0.8</v>
      </c>
      <c r="G10" s="110"/>
      <c r="H10" s="87">
        <v>50</v>
      </c>
      <c r="I10" s="87">
        <v>1</v>
      </c>
      <c r="J10" s="88">
        <v>21</v>
      </c>
      <c r="K10" s="88">
        <v>3.4</v>
      </c>
      <c r="L10" s="211">
        <f t="shared" si="0"/>
        <v>24.4</v>
      </c>
      <c r="M10" s="422">
        <v>0.56999999999999995</v>
      </c>
      <c r="N10" s="422">
        <f t="shared" si="1"/>
        <v>19.448399999999996</v>
      </c>
    </row>
    <row r="11" spans="1:14" ht="21.95" customHeight="1">
      <c r="A11" s="87"/>
      <c r="B11" s="87"/>
      <c r="C11" s="87">
        <v>7</v>
      </c>
      <c r="D11" s="86" t="s">
        <v>397</v>
      </c>
      <c r="E11" s="87">
        <v>96</v>
      </c>
      <c r="F11" s="88">
        <v>1</v>
      </c>
      <c r="G11" s="110"/>
      <c r="H11" s="87">
        <v>100</v>
      </c>
      <c r="I11" s="87">
        <v>1</v>
      </c>
      <c r="J11" s="88">
        <v>25</v>
      </c>
      <c r="K11" s="88">
        <v>4</v>
      </c>
      <c r="L11" s="211">
        <f t="shared" si="0"/>
        <v>29</v>
      </c>
      <c r="M11" s="422">
        <v>0.76</v>
      </c>
      <c r="N11" s="422">
        <f t="shared" si="1"/>
        <v>25.931199999999997</v>
      </c>
    </row>
    <row r="12" spans="1:14" ht="21.95" customHeight="1">
      <c r="A12" s="87"/>
      <c r="B12" s="87"/>
      <c r="C12" s="87">
        <v>8</v>
      </c>
      <c r="D12" s="86" t="s">
        <v>256</v>
      </c>
      <c r="E12" s="87">
        <v>167</v>
      </c>
      <c r="F12" s="88">
        <v>0.9</v>
      </c>
      <c r="G12" s="110"/>
      <c r="H12" s="87">
        <v>200</v>
      </c>
      <c r="I12" s="87">
        <v>1</v>
      </c>
      <c r="J12" s="88">
        <v>25</v>
      </c>
      <c r="K12" s="88">
        <v>3.7</v>
      </c>
      <c r="L12" s="211">
        <f t="shared" si="0"/>
        <v>28.7</v>
      </c>
      <c r="M12" s="427">
        <v>1</v>
      </c>
      <c r="N12" s="422">
        <f t="shared" si="1"/>
        <v>34.119999999999997</v>
      </c>
    </row>
    <row r="13" spans="1:14" ht="21.95" customHeight="1">
      <c r="A13" s="87"/>
      <c r="B13" s="87"/>
      <c r="C13" s="87">
        <v>9</v>
      </c>
      <c r="D13" s="86" t="s">
        <v>427</v>
      </c>
      <c r="E13" s="87">
        <v>99</v>
      </c>
      <c r="F13" s="88">
        <v>0.5</v>
      </c>
      <c r="G13" s="110"/>
      <c r="H13" s="87">
        <v>100</v>
      </c>
      <c r="I13" s="87">
        <v>1</v>
      </c>
      <c r="J13" s="88">
        <v>17.5</v>
      </c>
      <c r="K13" s="88">
        <v>2.5</v>
      </c>
      <c r="L13" s="211">
        <f t="shared" si="0"/>
        <v>20</v>
      </c>
      <c r="M13" s="422">
        <v>0.76</v>
      </c>
      <c r="N13" s="422">
        <f t="shared" si="1"/>
        <v>25.931199999999997</v>
      </c>
    </row>
    <row r="14" spans="1:14" ht="21.95" customHeight="1">
      <c r="A14" s="87"/>
      <c r="B14" s="87"/>
      <c r="C14" s="87">
        <v>10</v>
      </c>
      <c r="D14" s="86" t="s">
        <v>428</v>
      </c>
      <c r="E14" s="87">
        <v>73</v>
      </c>
      <c r="F14" s="88">
        <v>0.3</v>
      </c>
      <c r="G14" s="110"/>
      <c r="H14" s="87">
        <v>100</v>
      </c>
      <c r="I14" s="87">
        <v>1</v>
      </c>
      <c r="J14" s="110">
        <v>14.5</v>
      </c>
      <c r="K14" s="110">
        <v>1.9</v>
      </c>
      <c r="L14" s="211">
        <f t="shared" si="0"/>
        <v>16.399999999999999</v>
      </c>
      <c r="M14" s="422">
        <v>0.76</v>
      </c>
      <c r="N14" s="422">
        <f t="shared" si="1"/>
        <v>25.931199999999997</v>
      </c>
    </row>
    <row r="15" spans="1:14" ht="21.95" customHeight="1">
      <c r="A15" s="87"/>
      <c r="B15" s="87"/>
      <c r="C15" s="87">
        <v>11</v>
      </c>
      <c r="D15" s="86" t="s">
        <v>429</v>
      </c>
      <c r="E15" s="87">
        <v>39</v>
      </c>
      <c r="F15" s="88">
        <v>0.7</v>
      </c>
      <c r="G15" s="110"/>
      <c r="H15" s="87">
        <v>50</v>
      </c>
      <c r="I15" s="87">
        <v>1</v>
      </c>
      <c r="J15" s="88">
        <v>19.5</v>
      </c>
      <c r="K15" s="88">
        <v>3.1</v>
      </c>
      <c r="L15" s="211">
        <f t="shared" si="0"/>
        <v>22.6</v>
      </c>
      <c r="M15" s="422">
        <v>0.56999999999999995</v>
      </c>
      <c r="N15" s="422">
        <f t="shared" si="1"/>
        <v>19.448399999999996</v>
      </c>
    </row>
    <row r="16" spans="1:14" ht="21.95" customHeight="1">
      <c r="A16" s="87"/>
      <c r="B16" s="87"/>
      <c r="C16" s="87">
        <v>12</v>
      </c>
      <c r="D16" s="86" t="s">
        <v>430</v>
      </c>
      <c r="E16" s="87">
        <v>83</v>
      </c>
      <c r="F16" s="88">
        <v>0.5</v>
      </c>
      <c r="G16" s="110"/>
      <c r="H16" s="87">
        <v>100</v>
      </c>
      <c r="I16" s="87">
        <v>1</v>
      </c>
      <c r="J16" s="88">
        <v>17.5</v>
      </c>
      <c r="K16" s="88">
        <v>2.5</v>
      </c>
      <c r="L16" s="211">
        <f t="shared" si="0"/>
        <v>20</v>
      </c>
      <c r="M16" s="422">
        <v>0.76</v>
      </c>
      <c r="N16" s="422">
        <f t="shared" si="1"/>
        <v>25.931199999999997</v>
      </c>
    </row>
    <row r="17" spans="1:14" ht="21.95" customHeight="1">
      <c r="A17" s="87"/>
      <c r="B17" s="87"/>
      <c r="C17" s="87">
        <v>13</v>
      </c>
      <c r="D17" s="86" t="s">
        <v>397</v>
      </c>
      <c r="E17" s="87">
        <v>30</v>
      </c>
      <c r="F17" s="88">
        <v>1.4</v>
      </c>
      <c r="G17" s="110"/>
      <c r="H17" s="87">
        <v>100</v>
      </c>
      <c r="I17" s="87">
        <v>1</v>
      </c>
      <c r="J17" s="88">
        <v>31</v>
      </c>
      <c r="K17" s="88">
        <v>5.2</v>
      </c>
      <c r="L17" s="211">
        <f t="shared" si="0"/>
        <v>36.200000000000003</v>
      </c>
      <c r="M17" s="422">
        <v>0.76</v>
      </c>
      <c r="N17" s="422">
        <f t="shared" si="1"/>
        <v>25.931199999999997</v>
      </c>
    </row>
    <row r="18" spans="1:14" ht="21.95" customHeight="1">
      <c r="A18" s="87"/>
      <c r="B18" s="87"/>
      <c r="C18" s="87">
        <v>14</v>
      </c>
      <c r="D18" s="172" t="s">
        <v>431</v>
      </c>
      <c r="E18" s="25">
        <v>27</v>
      </c>
      <c r="F18" s="209">
        <v>0.3</v>
      </c>
      <c r="G18" s="23"/>
      <c r="H18" s="25">
        <v>50</v>
      </c>
      <c r="I18" s="25">
        <v>1</v>
      </c>
      <c r="J18" s="209">
        <v>13.5</v>
      </c>
      <c r="K18" s="209">
        <v>1.9</v>
      </c>
      <c r="L18" s="211">
        <f t="shared" si="0"/>
        <v>15.4</v>
      </c>
      <c r="M18" s="422">
        <v>0.56999999999999995</v>
      </c>
      <c r="N18" s="422">
        <f t="shared" si="1"/>
        <v>19.448399999999996</v>
      </c>
    </row>
    <row r="19" spans="1:14" ht="21.95" customHeight="1">
      <c r="A19" s="87"/>
      <c r="B19" s="87"/>
      <c r="C19" s="87">
        <v>15</v>
      </c>
      <c r="D19" s="86" t="s">
        <v>432</v>
      </c>
      <c r="E19" s="87">
        <v>42</v>
      </c>
      <c r="F19" s="689">
        <v>1.3</v>
      </c>
      <c r="G19" s="769"/>
      <c r="H19" s="687">
        <v>50</v>
      </c>
      <c r="I19" s="687">
        <v>1</v>
      </c>
      <c r="J19" s="689">
        <v>28.5</v>
      </c>
      <c r="K19" s="689">
        <v>4.9000000000000004</v>
      </c>
      <c r="L19" s="689">
        <f>K19+J19</f>
        <v>33.4</v>
      </c>
      <c r="M19" s="764">
        <v>0.56999999999999995</v>
      </c>
      <c r="N19" s="764">
        <f t="shared" si="1"/>
        <v>19.448399999999996</v>
      </c>
    </row>
    <row r="20" spans="1:14" ht="21.95" customHeight="1">
      <c r="A20" s="87"/>
      <c r="B20" s="87"/>
      <c r="C20" s="87">
        <v>16</v>
      </c>
      <c r="D20" s="86" t="s">
        <v>433</v>
      </c>
      <c r="E20" s="87">
        <v>14</v>
      </c>
      <c r="F20" s="689"/>
      <c r="G20" s="769"/>
      <c r="H20" s="687"/>
      <c r="I20" s="687"/>
      <c r="J20" s="689"/>
      <c r="K20" s="689"/>
      <c r="L20" s="689"/>
      <c r="M20" s="764"/>
      <c r="N20" s="764"/>
    </row>
    <row r="21" spans="1:14" ht="21.95" customHeight="1">
      <c r="A21" s="92"/>
      <c r="B21" s="92"/>
      <c r="C21" s="92">
        <v>17</v>
      </c>
      <c r="D21" s="91" t="s">
        <v>434</v>
      </c>
      <c r="E21" s="92">
        <v>20</v>
      </c>
      <c r="F21" s="93">
        <v>0.9</v>
      </c>
      <c r="G21" s="218"/>
      <c r="H21" s="92">
        <v>50</v>
      </c>
      <c r="I21" s="92">
        <v>1</v>
      </c>
      <c r="J21" s="93">
        <v>22.5</v>
      </c>
      <c r="K21" s="93">
        <v>3.7</v>
      </c>
      <c r="L21" s="360">
        <f>K21+J21</f>
        <v>26.2</v>
      </c>
      <c r="M21" s="423">
        <v>0.56999999999999995</v>
      </c>
      <c r="N21" s="423">
        <f t="shared" si="1"/>
        <v>19.448399999999996</v>
      </c>
    </row>
    <row r="22" spans="1:14" ht="21.95" customHeight="1">
      <c r="A22" s="76"/>
      <c r="B22" s="76"/>
      <c r="C22" s="76"/>
      <c r="D22" s="75"/>
      <c r="E22" s="76"/>
      <c r="F22" s="357"/>
      <c r="G22" s="357"/>
      <c r="H22" s="76"/>
      <c r="I22" s="76"/>
      <c r="J22" s="77"/>
      <c r="K22" s="77"/>
      <c r="L22" s="358"/>
    </row>
    <row r="23" spans="1:14" ht="21.95" customHeight="1">
      <c r="A23" s="76"/>
      <c r="B23" s="76"/>
      <c r="C23" s="76"/>
      <c r="D23" s="75"/>
      <c r="E23" s="76"/>
      <c r="F23" s="357"/>
      <c r="G23" s="357"/>
      <c r="H23" s="76"/>
      <c r="I23" s="76"/>
      <c r="J23" s="77"/>
      <c r="K23" s="77"/>
      <c r="L23" s="358"/>
    </row>
    <row r="24" spans="1:14" ht="24.75" customHeight="1">
      <c r="A24" s="766" t="s">
        <v>665</v>
      </c>
      <c r="B24" s="766"/>
      <c r="C24" s="766"/>
      <c r="D24" s="766"/>
      <c r="E24" s="766"/>
      <c r="F24" s="766"/>
      <c r="G24" s="766"/>
      <c r="H24" s="766"/>
      <c r="I24" s="766"/>
      <c r="J24" s="766"/>
      <c r="K24" s="766"/>
      <c r="L24" s="766"/>
    </row>
    <row r="25" spans="1:14" s="5" customFormat="1" ht="27.75" customHeight="1">
      <c r="A25" s="654" t="s">
        <v>1</v>
      </c>
      <c r="B25" s="632" t="s">
        <v>755</v>
      </c>
      <c r="C25" s="646" t="s">
        <v>21</v>
      </c>
      <c r="D25" s="647"/>
      <c r="E25" s="652" t="s">
        <v>756</v>
      </c>
      <c r="F25" s="654" t="s">
        <v>3</v>
      </c>
      <c r="G25" s="654"/>
      <c r="H25" s="654"/>
      <c r="I25" s="654"/>
      <c r="J25" s="654" t="s">
        <v>761</v>
      </c>
      <c r="K25" s="654"/>
      <c r="L25" s="654"/>
      <c r="M25" s="746" t="s">
        <v>752</v>
      </c>
      <c r="N25" s="747"/>
    </row>
    <row r="26" spans="1:14" s="5" customFormat="1" ht="40.5" customHeight="1">
      <c r="A26" s="654"/>
      <c r="B26" s="633"/>
      <c r="C26" s="648"/>
      <c r="D26" s="649"/>
      <c r="E26" s="652"/>
      <c r="F26" s="652" t="s">
        <v>757</v>
      </c>
      <c r="G26" s="652" t="s">
        <v>5</v>
      </c>
      <c r="H26" s="652" t="s">
        <v>6</v>
      </c>
      <c r="I26" s="652"/>
      <c r="J26" s="652" t="s">
        <v>22</v>
      </c>
      <c r="K26" s="652" t="s">
        <v>762</v>
      </c>
      <c r="L26" s="654" t="s">
        <v>8</v>
      </c>
      <c r="M26" s="748"/>
      <c r="N26" s="749"/>
    </row>
    <row r="27" spans="1:14" s="5" customFormat="1" ht="58.5" customHeight="1">
      <c r="A27" s="632"/>
      <c r="B27" s="634"/>
      <c r="C27" s="650"/>
      <c r="D27" s="651"/>
      <c r="E27" s="653"/>
      <c r="F27" s="653"/>
      <c r="G27" s="653"/>
      <c r="H27" s="381" t="s">
        <v>9</v>
      </c>
      <c r="I27" s="381" t="s">
        <v>10</v>
      </c>
      <c r="J27" s="653"/>
      <c r="K27" s="632"/>
      <c r="L27" s="632"/>
      <c r="M27" s="439" t="s">
        <v>753</v>
      </c>
      <c r="N27" s="440" t="s">
        <v>754</v>
      </c>
    </row>
    <row r="28" spans="1:14" ht="25.5" customHeight="1">
      <c r="A28" s="82"/>
      <c r="B28" s="361" t="s">
        <v>11</v>
      </c>
      <c r="C28" s="82">
        <v>18</v>
      </c>
      <c r="D28" s="81" t="s">
        <v>435</v>
      </c>
      <c r="E28" s="82">
        <v>57</v>
      </c>
      <c r="F28" s="83">
        <v>0.2</v>
      </c>
      <c r="G28" s="362"/>
      <c r="H28" s="82">
        <v>50</v>
      </c>
      <c r="I28" s="82">
        <v>1</v>
      </c>
      <c r="J28" s="124">
        <v>12</v>
      </c>
      <c r="K28" s="124">
        <v>1.6</v>
      </c>
      <c r="L28" s="363">
        <f t="shared" ref="L28:L32" si="2">K28+J28</f>
        <v>13.6</v>
      </c>
      <c r="M28" s="421">
        <v>0.56999999999999995</v>
      </c>
      <c r="N28" s="421">
        <f t="shared" ref="N28:N32" si="3">M28*34.12</f>
        <v>19.448399999999996</v>
      </c>
    </row>
    <row r="29" spans="1:14" ht="25.5" customHeight="1">
      <c r="A29" s="87"/>
      <c r="B29" s="100" t="s">
        <v>846</v>
      </c>
      <c r="C29" s="87">
        <v>19</v>
      </c>
      <c r="D29" s="86" t="s">
        <v>436</v>
      </c>
      <c r="E29" s="87">
        <v>50</v>
      </c>
      <c r="F29" s="88">
        <v>0.7</v>
      </c>
      <c r="G29" s="110"/>
      <c r="H29" s="87">
        <v>50</v>
      </c>
      <c r="I29" s="87">
        <v>1</v>
      </c>
      <c r="J29" s="99">
        <v>19.5</v>
      </c>
      <c r="K29" s="99">
        <v>3.1</v>
      </c>
      <c r="L29" s="364">
        <f t="shared" si="2"/>
        <v>22.6</v>
      </c>
      <c r="M29" s="422">
        <v>0.56999999999999995</v>
      </c>
      <c r="N29" s="422">
        <f t="shared" si="3"/>
        <v>19.448399999999996</v>
      </c>
    </row>
    <row r="30" spans="1:14" ht="25.5" customHeight="1">
      <c r="A30" s="87"/>
      <c r="B30" s="87"/>
      <c r="C30" s="87">
        <v>20</v>
      </c>
      <c r="D30" s="86" t="s">
        <v>437</v>
      </c>
      <c r="E30" s="87">
        <v>101</v>
      </c>
      <c r="F30" s="88">
        <v>0.7</v>
      </c>
      <c r="G30" s="110"/>
      <c r="H30" s="87">
        <v>100</v>
      </c>
      <c r="I30" s="87">
        <v>1</v>
      </c>
      <c r="J30" s="99">
        <v>20.5</v>
      </c>
      <c r="K30" s="99">
        <v>3.1</v>
      </c>
      <c r="L30" s="364">
        <f t="shared" si="2"/>
        <v>23.6</v>
      </c>
      <c r="M30" s="422">
        <v>0.76</v>
      </c>
      <c r="N30" s="422">
        <f t="shared" si="3"/>
        <v>25.931199999999997</v>
      </c>
    </row>
    <row r="31" spans="1:14" ht="29.25" customHeight="1">
      <c r="A31" s="87"/>
      <c r="B31" s="87"/>
      <c r="C31" s="87">
        <v>21</v>
      </c>
      <c r="D31" s="86" t="s">
        <v>143</v>
      </c>
      <c r="E31" s="87">
        <v>100</v>
      </c>
      <c r="F31" s="88">
        <v>0.4</v>
      </c>
      <c r="G31" s="110"/>
      <c r="H31" s="87">
        <v>100</v>
      </c>
      <c r="I31" s="87">
        <v>1</v>
      </c>
      <c r="J31" s="99">
        <v>16</v>
      </c>
      <c r="K31" s="99">
        <v>2.2000000000000002</v>
      </c>
      <c r="L31" s="364">
        <f t="shared" si="2"/>
        <v>18.2</v>
      </c>
      <c r="M31" s="422">
        <v>0.76</v>
      </c>
      <c r="N31" s="422">
        <f t="shared" si="3"/>
        <v>25.931199999999997</v>
      </c>
    </row>
    <row r="32" spans="1:14" ht="29.25" customHeight="1">
      <c r="A32" s="92"/>
      <c r="B32" s="92"/>
      <c r="C32" s="92">
        <v>22</v>
      </c>
      <c r="D32" s="91" t="s">
        <v>438</v>
      </c>
      <c r="E32" s="92">
        <v>50</v>
      </c>
      <c r="F32" s="93">
        <v>1.4</v>
      </c>
      <c r="G32" s="218"/>
      <c r="H32" s="92">
        <v>50</v>
      </c>
      <c r="I32" s="92">
        <v>1</v>
      </c>
      <c r="J32" s="103">
        <v>30</v>
      </c>
      <c r="K32" s="103">
        <v>5.2</v>
      </c>
      <c r="L32" s="365">
        <f t="shared" si="2"/>
        <v>35.200000000000003</v>
      </c>
      <c r="M32" s="423">
        <v>0.56999999999999995</v>
      </c>
      <c r="N32" s="423">
        <f t="shared" si="3"/>
        <v>19.448399999999996</v>
      </c>
    </row>
    <row r="33" spans="1:14" s="5" customFormat="1" ht="29.25" customHeight="1">
      <c r="A33" s="64"/>
      <c r="B33" s="64" t="s">
        <v>759</v>
      </c>
      <c r="C33" s="64"/>
      <c r="D33" s="65" t="s">
        <v>845</v>
      </c>
      <c r="E33" s="66">
        <f>SUM(E5:E32)</f>
        <v>1516</v>
      </c>
      <c r="F33" s="67">
        <f>SUM(F5:F32)</f>
        <v>17.499999999999996</v>
      </c>
      <c r="G33" s="67"/>
      <c r="H33" s="66">
        <f>SUM(H5:H32)</f>
        <v>1750</v>
      </c>
      <c r="I33" s="66">
        <f>SUM(I5:I32)</f>
        <v>21</v>
      </c>
      <c r="J33" s="69">
        <f>SUM(J5:J32)</f>
        <v>465</v>
      </c>
      <c r="K33" s="69">
        <f>SUM(K5:K32)</f>
        <v>73.500000000000014</v>
      </c>
      <c r="L33" s="69">
        <f>SUM(L5:L32)</f>
        <v>538.5</v>
      </c>
      <c r="M33" s="453">
        <f t="shared" ref="M33:N33" si="4">SUM(M5:M32)</f>
        <v>14.49</v>
      </c>
      <c r="N33" s="453">
        <f t="shared" si="4"/>
        <v>494.39879999999988</v>
      </c>
    </row>
    <row r="34" spans="1:14" ht="29.25" customHeight="1">
      <c r="A34" s="132"/>
      <c r="B34" s="132"/>
      <c r="C34" s="132"/>
      <c r="D34" s="132"/>
      <c r="E34" s="133"/>
      <c r="F34" s="348"/>
      <c r="G34" s="348"/>
      <c r="H34" s="133"/>
      <c r="I34" s="133"/>
      <c r="J34" s="348"/>
      <c r="K34" s="348"/>
      <c r="L34" s="348"/>
    </row>
    <row r="35" spans="1:14">
      <c r="A35" s="125"/>
      <c r="B35" s="125"/>
      <c r="C35" s="125"/>
      <c r="D35" s="125"/>
      <c r="E35" s="126"/>
      <c r="F35" s="127"/>
      <c r="G35" s="127"/>
      <c r="H35" s="126"/>
      <c r="I35" s="126"/>
      <c r="J35" s="127"/>
      <c r="K35" s="127"/>
      <c r="L35" s="127"/>
    </row>
    <row r="36" spans="1:14">
      <c r="A36" s="125"/>
      <c r="B36" s="125"/>
      <c r="C36" s="125"/>
      <c r="D36" s="125"/>
      <c r="E36" s="126"/>
      <c r="F36" s="127"/>
      <c r="G36" s="127"/>
      <c r="H36" s="126"/>
      <c r="I36" s="126"/>
      <c r="J36" s="127"/>
      <c r="K36" s="127"/>
      <c r="L36" s="127"/>
    </row>
    <row r="37" spans="1:14">
      <c r="A37" s="125"/>
      <c r="B37" s="125"/>
      <c r="C37" s="125"/>
      <c r="D37" s="125"/>
      <c r="E37" s="126"/>
      <c r="F37" s="127"/>
      <c r="G37" s="127"/>
      <c r="H37" s="126"/>
      <c r="I37" s="126"/>
      <c r="J37" s="127"/>
      <c r="K37" s="127"/>
      <c r="L37" s="127"/>
    </row>
    <row r="38" spans="1:14">
      <c r="A38" s="125"/>
      <c r="B38" s="125"/>
      <c r="C38" s="125"/>
      <c r="D38" s="125"/>
      <c r="E38" s="126"/>
      <c r="F38" s="127"/>
      <c r="G38" s="127"/>
      <c r="H38" s="126"/>
      <c r="I38" s="126"/>
      <c r="J38" s="127"/>
      <c r="K38" s="127"/>
      <c r="L38" s="127"/>
    </row>
    <row r="39" spans="1:14">
      <c r="A39" s="125"/>
      <c r="B39" s="125"/>
      <c r="C39" s="125"/>
      <c r="D39" s="125"/>
      <c r="E39" s="126"/>
      <c r="F39" s="127"/>
      <c r="G39" s="127"/>
      <c r="H39" s="126"/>
      <c r="I39" s="126"/>
      <c r="J39" s="127"/>
      <c r="K39" s="127"/>
      <c r="L39" s="127"/>
    </row>
    <row r="40" spans="1:14">
      <c r="A40" s="125"/>
      <c r="B40" s="125"/>
      <c r="C40" s="125"/>
      <c r="D40" s="125"/>
      <c r="E40" s="126"/>
      <c r="F40" s="127"/>
      <c r="G40" s="127"/>
      <c r="H40" s="126"/>
      <c r="I40" s="126"/>
      <c r="J40" s="127"/>
      <c r="K40" s="127"/>
      <c r="L40" s="127"/>
    </row>
    <row r="41" spans="1:14">
      <c r="A41" s="125"/>
      <c r="B41" s="125"/>
      <c r="C41" s="125"/>
      <c r="D41" s="125"/>
      <c r="E41" s="126"/>
      <c r="F41" s="127"/>
      <c r="G41" s="127"/>
      <c r="H41" s="126"/>
      <c r="I41" s="126"/>
      <c r="J41" s="127"/>
      <c r="K41" s="127"/>
      <c r="L41" s="127"/>
    </row>
    <row r="42" spans="1:14">
      <c r="A42" s="125"/>
      <c r="B42" s="125"/>
      <c r="C42" s="125"/>
      <c r="D42" s="125"/>
      <c r="E42" s="126"/>
      <c r="F42" s="127"/>
      <c r="G42" s="127"/>
      <c r="H42" s="126"/>
      <c r="I42" s="126"/>
      <c r="J42" s="127"/>
      <c r="K42" s="127"/>
      <c r="L42" s="127"/>
    </row>
    <row r="43" spans="1:14">
      <c r="A43" s="125"/>
      <c r="B43" s="125"/>
      <c r="C43" s="125"/>
      <c r="D43" s="125"/>
      <c r="E43" s="126"/>
      <c r="F43" s="127"/>
      <c r="G43" s="127"/>
      <c r="H43" s="126"/>
      <c r="I43" s="126"/>
      <c r="J43" s="127"/>
      <c r="K43" s="127"/>
      <c r="L43" s="127"/>
    </row>
    <row r="44" spans="1:14">
      <c r="A44" s="125"/>
      <c r="B44" s="125"/>
      <c r="C44" s="125"/>
      <c r="D44" s="125"/>
      <c r="E44" s="126"/>
      <c r="F44" s="127"/>
      <c r="G44" s="127"/>
      <c r="H44" s="126"/>
      <c r="I44" s="126"/>
      <c r="J44" s="127"/>
      <c r="K44" s="127"/>
      <c r="L44" s="127"/>
    </row>
    <row r="45" spans="1:14">
      <c r="A45" s="125"/>
      <c r="B45" s="125"/>
      <c r="C45" s="125"/>
      <c r="D45" s="125"/>
      <c r="E45" s="126"/>
      <c r="F45" s="127"/>
      <c r="G45" s="127"/>
      <c r="H45" s="126"/>
      <c r="I45" s="126"/>
      <c r="J45" s="127"/>
      <c r="K45" s="127"/>
      <c r="L45" s="127"/>
    </row>
    <row r="46" spans="1:14">
      <c r="A46" s="125"/>
      <c r="B46" s="125"/>
      <c r="C46" s="125"/>
      <c r="D46" s="125"/>
      <c r="E46" s="126"/>
      <c r="F46" s="127"/>
      <c r="G46" s="127"/>
      <c r="H46" s="126"/>
      <c r="I46" s="126"/>
      <c r="J46" s="127"/>
      <c r="K46" s="127"/>
      <c r="L46" s="127"/>
    </row>
    <row r="47" spans="1:14">
      <c r="A47" s="125"/>
      <c r="B47" s="125"/>
      <c r="C47" s="125"/>
      <c r="D47" s="125"/>
      <c r="E47" s="126"/>
      <c r="F47" s="127"/>
      <c r="G47" s="127"/>
      <c r="H47" s="126"/>
      <c r="I47" s="126"/>
      <c r="J47" s="127"/>
      <c r="K47" s="127"/>
      <c r="L47" s="127"/>
    </row>
    <row r="48" spans="1:14" ht="29.25" customHeight="1">
      <c r="A48" s="766" t="s">
        <v>666</v>
      </c>
      <c r="B48" s="766"/>
      <c r="C48" s="766"/>
      <c r="D48" s="766"/>
      <c r="E48" s="766"/>
      <c r="F48" s="766"/>
      <c r="G48" s="766"/>
      <c r="H48" s="766"/>
      <c r="I48" s="766"/>
      <c r="J48" s="766"/>
      <c r="K48" s="766"/>
      <c r="L48" s="766"/>
    </row>
    <row r="49" spans="1:14" s="5" customFormat="1" ht="27.75" customHeight="1">
      <c r="A49" s="654" t="s">
        <v>1</v>
      </c>
      <c r="B49" s="632" t="s">
        <v>755</v>
      </c>
      <c r="C49" s="646" t="s">
        <v>21</v>
      </c>
      <c r="D49" s="647"/>
      <c r="E49" s="652" t="s">
        <v>756</v>
      </c>
      <c r="F49" s="654" t="s">
        <v>3</v>
      </c>
      <c r="G49" s="654"/>
      <c r="H49" s="654"/>
      <c r="I49" s="654"/>
      <c r="J49" s="654" t="s">
        <v>761</v>
      </c>
      <c r="K49" s="654"/>
      <c r="L49" s="654"/>
      <c r="M49" s="746" t="s">
        <v>752</v>
      </c>
      <c r="N49" s="747"/>
    </row>
    <row r="50" spans="1:14" s="5" customFormat="1" ht="40.5" customHeight="1">
      <c r="A50" s="654"/>
      <c r="B50" s="633"/>
      <c r="C50" s="648"/>
      <c r="D50" s="649"/>
      <c r="E50" s="652"/>
      <c r="F50" s="652" t="s">
        <v>757</v>
      </c>
      <c r="G50" s="652" t="s">
        <v>5</v>
      </c>
      <c r="H50" s="652" t="s">
        <v>6</v>
      </c>
      <c r="I50" s="652"/>
      <c r="J50" s="652" t="s">
        <v>22</v>
      </c>
      <c r="K50" s="652" t="s">
        <v>762</v>
      </c>
      <c r="L50" s="654" t="s">
        <v>8</v>
      </c>
      <c r="M50" s="748"/>
      <c r="N50" s="749"/>
    </row>
    <row r="51" spans="1:14" s="5" customFormat="1" ht="58.5" customHeight="1">
      <c r="A51" s="632"/>
      <c r="B51" s="634"/>
      <c r="C51" s="650"/>
      <c r="D51" s="651"/>
      <c r="E51" s="653"/>
      <c r="F51" s="653"/>
      <c r="G51" s="653"/>
      <c r="H51" s="381" t="s">
        <v>9</v>
      </c>
      <c r="I51" s="381" t="s">
        <v>10</v>
      </c>
      <c r="J51" s="653"/>
      <c r="K51" s="632"/>
      <c r="L51" s="632"/>
      <c r="M51" s="439" t="s">
        <v>753</v>
      </c>
      <c r="N51" s="440" t="s">
        <v>754</v>
      </c>
    </row>
    <row r="52" spans="1:14" ht="21.95" customHeight="1">
      <c r="A52" s="82"/>
      <c r="B52" s="361" t="s">
        <v>11</v>
      </c>
      <c r="C52" s="82">
        <v>1</v>
      </c>
      <c r="D52" s="278" t="s">
        <v>667</v>
      </c>
      <c r="E52" s="82">
        <v>108</v>
      </c>
      <c r="F52" s="83">
        <v>1</v>
      </c>
      <c r="G52" s="83"/>
      <c r="H52" s="82">
        <v>100</v>
      </c>
      <c r="I52" s="82">
        <v>1</v>
      </c>
      <c r="J52" s="83">
        <v>25</v>
      </c>
      <c r="K52" s="83">
        <v>4</v>
      </c>
      <c r="L52" s="359">
        <f>K52+J52</f>
        <v>29</v>
      </c>
      <c r="M52" s="421">
        <v>0.76</v>
      </c>
      <c r="N52" s="421">
        <f>M52*34.12</f>
        <v>25.931199999999997</v>
      </c>
    </row>
    <row r="53" spans="1:14" ht="21.95" customHeight="1">
      <c r="A53" s="87"/>
      <c r="B53" s="100" t="s">
        <v>847</v>
      </c>
      <c r="C53" s="87">
        <v>2</v>
      </c>
      <c r="D53" s="86" t="s">
        <v>668</v>
      </c>
      <c r="E53" s="87">
        <v>77</v>
      </c>
      <c r="F53" s="88">
        <v>1</v>
      </c>
      <c r="G53" s="88"/>
      <c r="H53" s="87">
        <v>100</v>
      </c>
      <c r="I53" s="87">
        <v>1</v>
      </c>
      <c r="J53" s="88">
        <v>25</v>
      </c>
      <c r="K53" s="88">
        <v>4</v>
      </c>
      <c r="L53" s="211">
        <f t="shared" ref="L53:L60" si="5">K53+J53</f>
        <v>29</v>
      </c>
      <c r="M53" s="422">
        <v>0.76</v>
      </c>
      <c r="N53" s="422">
        <f t="shared" ref="N53:N68" si="6">M53*34.12</f>
        <v>25.931199999999997</v>
      </c>
    </row>
    <row r="54" spans="1:14" ht="21.95" customHeight="1">
      <c r="A54" s="87"/>
      <c r="B54" s="87"/>
      <c r="C54" s="87">
        <v>3</v>
      </c>
      <c r="D54" s="101" t="s">
        <v>669</v>
      </c>
      <c r="E54" s="87">
        <v>103</v>
      </c>
      <c r="F54" s="88">
        <v>1.6</v>
      </c>
      <c r="G54" s="88"/>
      <c r="H54" s="87">
        <v>100</v>
      </c>
      <c r="I54" s="87">
        <v>1</v>
      </c>
      <c r="J54" s="88">
        <v>34</v>
      </c>
      <c r="K54" s="88">
        <v>5.8</v>
      </c>
      <c r="L54" s="211">
        <f t="shared" si="5"/>
        <v>39.799999999999997</v>
      </c>
      <c r="M54" s="422">
        <v>0.76</v>
      </c>
      <c r="N54" s="422">
        <f t="shared" si="6"/>
        <v>25.931199999999997</v>
      </c>
    </row>
    <row r="55" spans="1:14" ht="21.95" customHeight="1">
      <c r="A55" s="87"/>
      <c r="B55" s="87"/>
      <c r="C55" s="87">
        <v>4</v>
      </c>
      <c r="D55" s="86" t="s">
        <v>670</v>
      </c>
      <c r="E55" s="87">
        <v>116</v>
      </c>
      <c r="F55" s="88">
        <v>0.7</v>
      </c>
      <c r="G55" s="88"/>
      <c r="H55" s="87">
        <v>100</v>
      </c>
      <c r="I55" s="87">
        <v>1</v>
      </c>
      <c r="J55" s="88">
        <v>20.5</v>
      </c>
      <c r="K55" s="88">
        <v>3.1</v>
      </c>
      <c r="L55" s="211">
        <f t="shared" si="5"/>
        <v>23.6</v>
      </c>
      <c r="M55" s="422">
        <v>0.76</v>
      </c>
      <c r="N55" s="422">
        <f t="shared" si="6"/>
        <v>25.931199999999997</v>
      </c>
    </row>
    <row r="56" spans="1:14" ht="21.95" customHeight="1">
      <c r="A56" s="87"/>
      <c r="B56" s="87"/>
      <c r="C56" s="87">
        <v>5</v>
      </c>
      <c r="D56" s="101" t="s">
        <v>342</v>
      </c>
      <c r="E56" s="87">
        <v>20</v>
      </c>
      <c r="F56" s="88">
        <v>1.5</v>
      </c>
      <c r="G56" s="88"/>
      <c r="H56" s="87">
        <v>100</v>
      </c>
      <c r="I56" s="87">
        <v>1</v>
      </c>
      <c r="J56" s="88">
        <v>32.5</v>
      </c>
      <c r="K56" s="88">
        <v>5.5</v>
      </c>
      <c r="L56" s="211">
        <f t="shared" si="5"/>
        <v>38</v>
      </c>
      <c r="M56" s="422">
        <v>0.76</v>
      </c>
      <c r="N56" s="422">
        <f t="shared" si="6"/>
        <v>25.931199999999997</v>
      </c>
    </row>
    <row r="57" spans="1:14" ht="21.95" customHeight="1">
      <c r="A57" s="87"/>
      <c r="B57" s="87"/>
      <c r="C57" s="87">
        <v>6</v>
      </c>
      <c r="D57" s="86" t="s">
        <v>671</v>
      </c>
      <c r="E57" s="87">
        <v>30</v>
      </c>
      <c r="F57" s="88">
        <v>0.8</v>
      </c>
      <c r="G57" s="88"/>
      <c r="H57" s="87">
        <v>100</v>
      </c>
      <c r="I57" s="87">
        <v>1</v>
      </c>
      <c r="J57" s="88">
        <v>22</v>
      </c>
      <c r="K57" s="88">
        <v>3.4</v>
      </c>
      <c r="L57" s="211">
        <f t="shared" si="5"/>
        <v>25.4</v>
      </c>
      <c r="M57" s="422">
        <v>0.76</v>
      </c>
      <c r="N57" s="422">
        <f t="shared" si="6"/>
        <v>25.931199999999997</v>
      </c>
    </row>
    <row r="58" spans="1:14" ht="21.95" customHeight="1">
      <c r="A58" s="87"/>
      <c r="B58" s="87"/>
      <c r="C58" s="87">
        <v>7</v>
      </c>
      <c r="D58" s="86" t="s">
        <v>536</v>
      </c>
      <c r="E58" s="87">
        <v>127</v>
      </c>
      <c r="F58" s="88">
        <v>1.2</v>
      </c>
      <c r="G58" s="88"/>
      <c r="H58" s="87">
        <v>100</v>
      </c>
      <c r="I58" s="87">
        <v>1</v>
      </c>
      <c r="J58" s="88">
        <v>28</v>
      </c>
      <c r="K58" s="88">
        <v>4.5999999999999996</v>
      </c>
      <c r="L58" s="211">
        <f t="shared" si="5"/>
        <v>32.6</v>
      </c>
      <c r="M58" s="422">
        <v>0.76</v>
      </c>
      <c r="N58" s="422">
        <f t="shared" si="6"/>
        <v>25.931199999999997</v>
      </c>
    </row>
    <row r="59" spans="1:14" ht="21.95" customHeight="1">
      <c r="A59" s="87"/>
      <c r="B59" s="87"/>
      <c r="C59" s="87">
        <v>8</v>
      </c>
      <c r="D59" s="86" t="s">
        <v>672</v>
      </c>
      <c r="E59" s="87">
        <v>137</v>
      </c>
      <c r="F59" s="88">
        <v>0.5</v>
      </c>
      <c r="G59" s="88"/>
      <c r="H59" s="87">
        <v>100</v>
      </c>
      <c r="I59" s="87">
        <v>1</v>
      </c>
      <c r="J59" s="88">
        <v>17.5</v>
      </c>
      <c r="K59" s="88">
        <v>2.5</v>
      </c>
      <c r="L59" s="211">
        <f t="shared" si="5"/>
        <v>20</v>
      </c>
      <c r="M59" s="422">
        <v>0.76</v>
      </c>
      <c r="N59" s="422">
        <f t="shared" si="6"/>
        <v>25.931199999999997</v>
      </c>
    </row>
    <row r="60" spans="1:14" ht="21.95" customHeight="1">
      <c r="A60" s="87"/>
      <c r="B60" s="87"/>
      <c r="C60" s="87">
        <v>9</v>
      </c>
      <c r="D60" s="86" t="s">
        <v>673</v>
      </c>
      <c r="E60" s="87">
        <v>70</v>
      </c>
      <c r="F60" s="88">
        <v>0.5</v>
      </c>
      <c r="G60" s="88"/>
      <c r="H60" s="87">
        <v>50</v>
      </c>
      <c r="I60" s="87">
        <v>1</v>
      </c>
      <c r="J60" s="88">
        <v>16.5</v>
      </c>
      <c r="K60" s="88">
        <v>2.5</v>
      </c>
      <c r="L60" s="211">
        <f t="shared" si="5"/>
        <v>19</v>
      </c>
      <c r="M60" s="422">
        <v>0.56999999999999995</v>
      </c>
      <c r="N60" s="422">
        <f t="shared" si="6"/>
        <v>19.448399999999996</v>
      </c>
    </row>
    <row r="61" spans="1:14" ht="21.95" customHeight="1">
      <c r="A61" s="87"/>
      <c r="B61" s="87"/>
      <c r="C61" s="87">
        <v>10</v>
      </c>
      <c r="D61" s="101" t="s">
        <v>674</v>
      </c>
      <c r="E61" s="87">
        <v>141</v>
      </c>
      <c r="F61" s="689">
        <v>0.4</v>
      </c>
      <c r="G61" s="88"/>
      <c r="H61" s="687">
        <v>100</v>
      </c>
      <c r="I61" s="687">
        <v>1</v>
      </c>
      <c r="J61" s="689">
        <v>16</v>
      </c>
      <c r="K61" s="689">
        <v>2.2000000000000002</v>
      </c>
      <c r="L61" s="689">
        <f>K61+J61</f>
        <v>18.2</v>
      </c>
      <c r="M61" s="764">
        <v>0.76</v>
      </c>
      <c r="N61" s="764">
        <f t="shared" si="6"/>
        <v>25.931199999999997</v>
      </c>
    </row>
    <row r="62" spans="1:14" ht="21.95" customHeight="1">
      <c r="A62" s="87"/>
      <c r="B62" s="87"/>
      <c r="C62" s="87">
        <v>11</v>
      </c>
      <c r="D62" s="101" t="s">
        <v>675</v>
      </c>
      <c r="E62" s="87">
        <v>121</v>
      </c>
      <c r="F62" s="689"/>
      <c r="G62" s="88"/>
      <c r="H62" s="687"/>
      <c r="I62" s="687"/>
      <c r="J62" s="689"/>
      <c r="K62" s="689"/>
      <c r="L62" s="689"/>
      <c r="M62" s="764"/>
      <c r="N62" s="764"/>
    </row>
    <row r="63" spans="1:14" ht="21.95" customHeight="1">
      <c r="A63" s="87"/>
      <c r="B63" s="87"/>
      <c r="C63" s="87">
        <v>12</v>
      </c>
      <c r="D63" s="101" t="s">
        <v>676</v>
      </c>
      <c r="E63" s="87">
        <v>33</v>
      </c>
      <c r="F63" s="88">
        <v>0.3</v>
      </c>
      <c r="G63" s="88"/>
      <c r="H63" s="87">
        <v>50</v>
      </c>
      <c r="I63" s="87">
        <v>1</v>
      </c>
      <c r="J63" s="88">
        <v>13.5</v>
      </c>
      <c r="K63" s="88">
        <v>1.9</v>
      </c>
      <c r="L63" s="211">
        <f>K63+J63</f>
        <v>15.4</v>
      </c>
      <c r="M63" s="422">
        <v>0.56999999999999995</v>
      </c>
      <c r="N63" s="422">
        <f t="shared" si="6"/>
        <v>19.448399999999996</v>
      </c>
    </row>
    <row r="64" spans="1:14" ht="21.95" customHeight="1">
      <c r="A64" s="87"/>
      <c r="B64" s="87"/>
      <c r="C64" s="87">
        <v>13</v>
      </c>
      <c r="D64" s="101" t="s">
        <v>677</v>
      </c>
      <c r="E64" s="87">
        <v>39</v>
      </c>
      <c r="F64" s="88">
        <v>0.6</v>
      </c>
      <c r="G64" s="88"/>
      <c r="H64" s="87">
        <v>50</v>
      </c>
      <c r="I64" s="87">
        <v>1</v>
      </c>
      <c r="J64" s="88">
        <v>18</v>
      </c>
      <c r="K64" s="88">
        <v>2.8</v>
      </c>
      <c r="L64" s="211">
        <f t="shared" ref="L64:L82" si="7">K64+J64</f>
        <v>20.8</v>
      </c>
      <c r="M64" s="422">
        <v>0.56999999999999995</v>
      </c>
      <c r="N64" s="422">
        <f t="shared" si="6"/>
        <v>19.448399999999996</v>
      </c>
    </row>
    <row r="65" spans="1:14" ht="21.95" customHeight="1">
      <c r="A65" s="87"/>
      <c r="B65" s="87"/>
      <c r="C65" s="87">
        <v>14</v>
      </c>
      <c r="D65" s="101" t="s">
        <v>678</v>
      </c>
      <c r="E65" s="87">
        <v>18</v>
      </c>
      <c r="F65" s="88">
        <v>1</v>
      </c>
      <c r="G65" s="88"/>
      <c r="H65" s="87">
        <v>50</v>
      </c>
      <c r="I65" s="87">
        <v>1</v>
      </c>
      <c r="J65" s="88">
        <v>24</v>
      </c>
      <c r="K65" s="88">
        <v>4</v>
      </c>
      <c r="L65" s="211">
        <f t="shared" si="7"/>
        <v>28</v>
      </c>
      <c r="M65" s="422">
        <v>0.56999999999999995</v>
      </c>
      <c r="N65" s="422">
        <f t="shared" si="6"/>
        <v>19.448399999999996</v>
      </c>
    </row>
    <row r="66" spans="1:14" ht="21.95" customHeight="1">
      <c r="A66" s="87"/>
      <c r="B66" s="87"/>
      <c r="C66" s="87">
        <v>15</v>
      </c>
      <c r="D66" s="86" t="s">
        <v>679</v>
      </c>
      <c r="E66" s="87">
        <v>58</v>
      </c>
      <c r="F66" s="88">
        <v>0.8</v>
      </c>
      <c r="G66" s="88"/>
      <c r="H66" s="87">
        <v>50</v>
      </c>
      <c r="I66" s="87">
        <v>1</v>
      </c>
      <c r="J66" s="88">
        <v>21</v>
      </c>
      <c r="K66" s="88">
        <v>3.4</v>
      </c>
      <c r="L66" s="211">
        <f t="shared" si="7"/>
        <v>24.4</v>
      </c>
      <c r="M66" s="422">
        <v>0.56999999999999995</v>
      </c>
      <c r="N66" s="422">
        <f t="shared" si="6"/>
        <v>19.448399999999996</v>
      </c>
    </row>
    <row r="67" spans="1:14" ht="21.95" customHeight="1">
      <c r="A67" s="87"/>
      <c r="B67" s="87"/>
      <c r="C67" s="87">
        <v>16</v>
      </c>
      <c r="D67" s="101" t="s">
        <v>680</v>
      </c>
      <c r="E67" s="87">
        <v>42</v>
      </c>
      <c r="F67" s="88">
        <v>0.7</v>
      </c>
      <c r="G67" s="88"/>
      <c r="H67" s="87">
        <v>100</v>
      </c>
      <c r="I67" s="87">
        <v>1</v>
      </c>
      <c r="J67" s="88">
        <v>20.5</v>
      </c>
      <c r="K67" s="88">
        <v>3.1</v>
      </c>
      <c r="L67" s="211">
        <f t="shared" si="7"/>
        <v>23.6</v>
      </c>
      <c r="M67" s="422">
        <v>0.76</v>
      </c>
      <c r="N67" s="422">
        <f t="shared" si="6"/>
        <v>25.931199999999997</v>
      </c>
    </row>
    <row r="68" spans="1:14" ht="21.95" customHeight="1">
      <c r="A68" s="92"/>
      <c r="B68" s="92"/>
      <c r="C68" s="92">
        <v>17</v>
      </c>
      <c r="D68" s="91" t="s">
        <v>681</v>
      </c>
      <c r="E68" s="92">
        <v>46</v>
      </c>
      <c r="F68" s="93">
        <v>0.5</v>
      </c>
      <c r="G68" s="93"/>
      <c r="H68" s="92">
        <v>50</v>
      </c>
      <c r="I68" s="92">
        <v>1</v>
      </c>
      <c r="J68" s="93">
        <v>16.5</v>
      </c>
      <c r="K68" s="93">
        <v>2.5</v>
      </c>
      <c r="L68" s="360">
        <f t="shared" si="7"/>
        <v>19</v>
      </c>
      <c r="M68" s="423">
        <v>0.56999999999999995</v>
      </c>
      <c r="N68" s="423">
        <f t="shared" si="6"/>
        <v>19.448399999999996</v>
      </c>
    </row>
    <row r="69" spans="1:14" ht="21.95" customHeight="1">
      <c r="A69" s="76"/>
      <c r="B69" s="76"/>
      <c r="C69" s="76"/>
      <c r="D69" s="75"/>
      <c r="E69" s="76"/>
      <c r="F69" s="77"/>
      <c r="G69" s="77"/>
      <c r="H69" s="76"/>
      <c r="I69" s="76"/>
      <c r="J69" s="77"/>
      <c r="K69" s="77"/>
      <c r="L69" s="358"/>
    </row>
    <row r="70" spans="1:14" ht="21.95" customHeight="1">
      <c r="A70" s="76"/>
      <c r="B70" s="76"/>
      <c r="C70" s="76"/>
      <c r="D70" s="75"/>
      <c r="E70" s="76"/>
      <c r="F70" s="77"/>
      <c r="G70" s="77"/>
      <c r="H70" s="76"/>
      <c r="I70" s="76"/>
      <c r="J70" s="77"/>
      <c r="K70" s="77"/>
      <c r="L70" s="358"/>
    </row>
    <row r="71" spans="1:14" ht="23.25" customHeight="1">
      <c r="A71" s="766" t="s">
        <v>666</v>
      </c>
      <c r="B71" s="766"/>
      <c r="C71" s="766"/>
      <c r="D71" s="766"/>
      <c r="E71" s="766"/>
      <c r="F71" s="766"/>
      <c r="G71" s="766"/>
      <c r="H71" s="766"/>
      <c r="I71" s="766"/>
      <c r="J71" s="766"/>
      <c r="K71" s="766"/>
      <c r="L71" s="766"/>
    </row>
    <row r="72" spans="1:14" s="5" customFormat="1" ht="27.75" customHeight="1">
      <c r="A72" s="654" t="s">
        <v>1</v>
      </c>
      <c r="B72" s="632" t="s">
        <v>755</v>
      </c>
      <c r="C72" s="646" t="s">
        <v>21</v>
      </c>
      <c r="D72" s="647"/>
      <c r="E72" s="652" t="s">
        <v>756</v>
      </c>
      <c r="F72" s="654" t="s">
        <v>3</v>
      </c>
      <c r="G72" s="654"/>
      <c r="H72" s="654"/>
      <c r="I72" s="654"/>
      <c r="J72" s="654" t="s">
        <v>761</v>
      </c>
      <c r="K72" s="654"/>
      <c r="L72" s="654"/>
      <c r="M72" s="746" t="s">
        <v>752</v>
      </c>
      <c r="N72" s="747"/>
    </row>
    <row r="73" spans="1:14" s="5" customFormat="1" ht="40.5" customHeight="1">
      <c r="A73" s="654"/>
      <c r="B73" s="633"/>
      <c r="C73" s="648"/>
      <c r="D73" s="649"/>
      <c r="E73" s="652"/>
      <c r="F73" s="652" t="s">
        <v>757</v>
      </c>
      <c r="G73" s="652" t="s">
        <v>5</v>
      </c>
      <c r="H73" s="652" t="s">
        <v>6</v>
      </c>
      <c r="I73" s="652"/>
      <c r="J73" s="652" t="s">
        <v>22</v>
      </c>
      <c r="K73" s="652" t="s">
        <v>762</v>
      </c>
      <c r="L73" s="654" t="s">
        <v>8</v>
      </c>
      <c r="M73" s="748"/>
      <c r="N73" s="749"/>
    </row>
    <row r="74" spans="1:14" s="5" customFormat="1" ht="58.5" customHeight="1">
      <c r="A74" s="632"/>
      <c r="B74" s="634"/>
      <c r="C74" s="650"/>
      <c r="D74" s="651"/>
      <c r="E74" s="653"/>
      <c r="F74" s="653"/>
      <c r="G74" s="653"/>
      <c r="H74" s="381" t="s">
        <v>9</v>
      </c>
      <c r="I74" s="381" t="s">
        <v>10</v>
      </c>
      <c r="J74" s="653"/>
      <c r="K74" s="632"/>
      <c r="L74" s="632"/>
      <c r="M74" s="439" t="s">
        <v>753</v>
      </c>
      <c r="N74" s="440" t="s">
        <v>754</v>
      </c>
    </row>
    <row r="75" spans="1:14" ht="23.25" customHeight="1">
      <c r="A75" s="82"/>
      <c r="B75" s="361" t="s">
        <v>11</v>
      </c>
      <c r="C75" s="82">
        <v>18</v>
      </c>
      <c r="D75" s="81" t="s">
        <v>682</v>
      </c>
      <c r="E75" s="82">
        <v>89</v>
      </c>
      <c r="F75" s="83">
        <v>0.5</v>
      </c>
      <c r="G75" s="83"/>
      <c r="H75" s="82">
        <v>50</v>
      </c>
      <c r="I75" s="82">
        <v>1</v>
      </c>
      <c r="J75" s="83">
        <v>16.5</v>
      </c>
      <c r="K75" s="83">
        <v>2.5</v>
      </c>
      <c r="L75" s="359">
        <f t="shared" si="7"/>
        <v>19</v>
      </c>
      <c r="M75" s="421">
        <v>0.56999999999999995</v>
      </c>
      <c r="N75" s="421">
        <f>M75*34.12</f>
        <v>19.448399999999996</v>
      </c>
    </row>
    <row r="76" spans="1:14" ht="23.25" customHeight="1">
      <c r="A76" s="87"/>
      <c r="B76" s="100" t="s">
        <v>847</v>
      </c>
      <c r="C76" s="87">
        <v>19</v>
      </c>
      <c r="D76" s="86" t="s">
        <v>285</v>
      </c>
      <c r="E76" s="87">
        <v>27</v>
      </c>
      <c r="F76" s="88">
        <v>0.4</v>
      </c>
      <c r="G76" s="88"/>
      <c r="H76" s="87">
        <v>50</v>
      </c>
      <c r="I76" s="87">
        <v>1</v>
      </c>
      <c r="J76" s="88">
        <v>15</v>
      </c>
      <c r="K76" s="88">
        <v>2.2000000000000002</v>
      </c>
      <c r="L76" s="211">
        <f t="shared" si="7"/>
        <v>17.2</v>
      </c>
      <c r="M76" s="422">
        <v>0.56999999999999995</v>
      </c>
      <c r="N76" s="422">
        <f t="shared" ref="N76:N83" si="8">M76*34.12</f>
        <v>19.448399999999996</v>
      </c>
    </row>
    <row r="77" spans="1:14" ht="23.25" customHeight="1">
      <c r="A77" s="87"/>
      <c r="B77" s="87"/>
      <c r="C77" s="87">
        <v>20</v>
      </c>
      <c r="D77" s="86" t="s">
        <v>189</v>
      </c>
      <c r="E77" s="87">
        <v>12</v>
      </c>
      <c r="F77" s="88">
        <v>0.4</v>
      </c>
      <c r="G77" s="88"/>
      <c r="H77" s="87">
        <v>50</v>
      </c>
      <c r="I77" s="87">
        <v>1</v>
      </c>
      <c r="J77" s="88">
        <v>15</v>
      </c>
      <c r="K77" s="88">
        <v>2.2000000000000002</v>
      </c>
      <c r="L77" s="211">
        <f t="shared" si="7"/>
        <v>17.2</v>
      </c>
      <c r="M77" s="422">
        <v>0.56999999999999995</v>
      </c>
      <c r="N77" s="422">
        <f t="shared" si="8"/>
        <v>19.448399999999996</v>
      </c>
    </row>
    <row r="78" spans="1:14" ht="23.25" customHeight="1">
      <c r="A78" s="87"/>
      <c r="B78" s="87"/>
      <c r="C78" s="87">
        <v>21</v>
      </c>
      <c r="D78" s="86" t="s">
        <v>683</v>
      </c>
      <c r="E78" s="87">
        <v>46</v>
      </c>
      <c r="F78" s="88">
        <v>0.6</v>
      </c>
      <c r="G78" s="88"/>
      <c r="H78" s="87">
        <v>50</v>
      </c>
      <c r="I78" s="87">
        <v>1</v>
      </c>
      <c r="J78" s="88">
        <v>18</v>
      </c>
      <c r="K78" s="88">
        <v>2.8</v>
      </c>
      <c r="L78" s="211">
        <f t="shared" si="7"/>
        <v>20.8</v>
      </c>
      <c r="M78" s="422">
        <v>0.56999999999999995</v>
      </c>
      <c r="N78" s="422">
        <f t="shared" si="8"/>
        <v>19.448399999999996</v>
      </c>
    </row>
    <row r="79" spans="1:14" ht="23.25" customHeight="1">
      <c r="A79" s="87"/>
      <c r="B79" s="87"/>
      <c r="C79" s="87">
        <v>22</v>
      </c>
      <c r="D79" s="86" t="s">
        <v>684</v>
      </c>
      <c r="E79" s="87">
        <v>91</v>
      </c>
      <c r="F79" s="88">
        <v>1</v>
      </c>
      <c r="G79" s="88"/>
      <c r="H79" s="87">
        <v>50</v>
      </c>
      <c r="I79" s="87">
        <v>1</v>
      </c>
      <c r="J79" s="88">
        <v>24</v>
      </c>
      <c r="K79" s="88">
        <v>4</v>
      </c>
      <c r="L79" s="211">
        <f t="shared" si="7"/>
        <v>28</v>
      </c>
      <c r="M79" s="422">
        <v>0.56999999999999995</v>
      </c>
      <c r="N79" s="422">
        <f t="shared" si="8"/>
        <v>19.448399999999996</v>
      </c>
    </row>
    <row r="80" spans="1:14" ht="23.25" customHeight="1">
      <c r="A80" s="87"/>
      <c r="B80" s="87"/>
      <c r="C80" s="87">
        <v>23</v>
      </c>
      <c r="D80" s="86" t="s">
        <v>685</v>
      </c>
      <c r="E80" s="87">
        <v>75</v>
      </c>
      <c r="F80" s="88">
        <v>0.9</v>
      </c>
      <c r="G80" s="88"/>
      <c r="H80" s="104">
        <v>50</v>
      </c>
      <c r="I80" s="104">
        <v>1</v>
      </c>
      <c r="J80" s="88">
        <v>22.5</v>
      </c>
      <c r="K80" s="88">
        <v>3.7</v>
      </c>
      <c r="L80" s="211">
        <f t="shared" si="7"/>
        <v>26.2</v>
      </c>
      <c r="M80" s="422">
        <v>0.56999999999999995</v>
      </c>
      <c r="N80" s="422">
        <f t="shared" si="8"/>
        <v>19.448399999999996</v>
      </c>
    </row>
    <row r="81" spans="1:14" ht="23.25" customHeight="1">
      <c r="A81" s="87"/>
      <c r="B81" s="87"/>
      <c r="C81" s="87">
        <v>24</v>
      </c>
      <c r="D81" s="86" t="s">
        <v>686</v>
      </c>
      <c r="E81" s="87">
        <v>13</v>
      </c>
      <c r="F81" s="88">
        <v>0.2</v>
      </c>
      <c r="G81" s="88"/>
      <c r="H81" s="87">
        <v>50</v>
      </c>
      <c r="I81" s="87">
        <v>1</v>
      </c>
      <c r="J81" s="88">
        <v>12</v>
      </c>
      <c r="K81" s="88">
        <v>1.6</v>
      </c>
      <c r="L81" s="211">
        <f t="shared" si="7"/>
        <v>13.6</v>
      </c>
      <c r="M81" s="422">
        <v>0.56999999999999995</v>
      </c>
      <c r="N81" s="422">
        <f t="shared" si="8"/>
        <v>19.448399999999996</v>
      </c>
    </row>
    <row r="82" spans="1:14" ht="23.25" customHeight="1">
      <c r="A82" s="87"/>
      <c r="B82" s="87"/>
      <c r="C82" s="87">
        <v>25</v>
      </c>
      <c r="D82" s="86" t="s">
        <v>687</v>
      </c>
      <c r="E82" s="87">
        <v>16</v>
      </c>
      <c r="F82" s="88">
        <v>0.5</v>
      </c>
      <c r="G82" s="88"/>
      <c r="H82" s="87">
        <v>50</v>
      </c>
      <c r="I82" s="87">
        <v>1</v>
      </c>
      <c r="J82" s="88">
        <v>16.5</v>
      </c>
      <c r="K82" s="88">
        <v>2.5</v>
      </c>
      <c r="L82" s="211">
        <f t="shared" si="7"/>
        <v>19</v>
      </c>
      <c r="M82" s="422">
        <v>0.56999999999999995</v>
      </c>
      <c r="N82" s="422">
        <f t="shared" si="8"/>
        <v>19.448399999999996</v>
      </c>
    </row>
    <row r="83" spans="1:14" ht="23.25" customHeight="1">
      <c r="A83" s="87"/>
      <c r="B83" s="87"/>
      <c r="C83" s="87">
        <v>26</v>
      </c>
      <c r="D83" s="86" t="s">
        <v>688</v>
      </c>
      <c r="E83" s="87">
        <v>45</v>
      </c>
      <c r="F83" s="88">
        <v>0.8</v>
      </c>
      <c r="G83" s="88"/>
      <c r="H83" s="687">
        <v>100</v>
      </c>
      <c r="I83" s="687">
        <v>1</v>
      </c>
      <c r="J83" s="689">
        <v>28</v>
      </c>
      <c r="K83" s="689">
        <v>4.5999999999999996</v>
      </c>
      <c r="L83" s="689">
        <f>K83+J83</f>
        <v>32.6</v>
      </c>
      <c r="M83" s="764">
        <v>0.76</v>
      </c>
      <c r="N83" s="764">
        <f t="shared" si="8"/>
        <v>25.931199999999997</v>
      </c>
    </row>
    <row r="84" spans="1:14" ht="23.25" customHeight="1">
      <c r="A84" s="92"/>
      <c r="B84" s="92"/>
      <c r="C84" s="92">
        <v>27</v>
      </c>
      <c r="D84" s="91" t="s">
        <v>689</v>
      </c>
      <c r="E84" s="92">
        <v>50</v>
      </c>
      <c r="F84" s="93">
        <v>0.4</v>
      </c>
      <c r="G84" s="93"/>
      <c r="H84" s="751"/>
      <c r="I84" s="751"/>
      <c r="J84" s="754"/>
      <c r="K84" s="754"/>
      <c r="L84" s="754"/>
      <c r="M84" s="765"/>
      <c r="N84" s="765"/>
    </row>
    <row r="85" spans="1:14" s="5" customFormat="1" ht="24.75" customHeight="1">
      <c r="A85" s="64"/>
      <c r="B85" s="64" t="s">
        <v>759</v>
      </c>
      <c r="C85" s="64"/>
      <c r="D85" s="65" t="s">
        <v>848</v>
      </c>
      <c r="E85" s="366">
        <f>SUM(E52:E84)</f>
        <v>1750</v>
      </c>
      <c r="F85" s="367">
        <f>SUM(F52:F84)</f>
        <v>18.799999999999997</v>
      </c>
      <c r="G85" s="367"/>
      <c r="H85" s="366">
        <f t="shared" ref="H85:M85" si="9">SUM(H52:H84)</f>
        <v>1800</v>
      </c>
      <c r="I85" s="366">
        <f t="shared" si="9"/>
        <v>25</v>
      </c>
      <c r="J85" s="367">
        <f t="shared" si="9"/>
        <v>518</v>
      </c>
      <c r="K85" s="367">
        <f t="shared" si="9"/>
        <v>81.399999999999991</v>
      </c>
      <c r="L85" s="367">
        <f t="shared" si="9"/>
        <v>599.4</v>
      </c>
      <c r="M85" s="454">
        <f t="shared" si="9"/>
        <v>16.340000000000003</v>
      </c>
      <c r="N85" s="454">
        <f t="shared" ref="N85" si="10">SUM(N52:N84)</f>
        <v>557.52079999999989</v>
      </c>
    </row>
    <row r="86" spans="1:14" ht="24.75" customHeight="1">
      <c r="A86" s="132"/>
      <c r="B86" s="132"/>
      <c r="C86" s="132"/>
      <c r="D86" s="132"/>
      <c r="E86" s="133"/>
      <c r="F86" s="348"/>
      <c r="G86" s="348"/>
      <c r="H86" s="133"/>
      <c r="I86" s="133"/>
      <c r="J86" s="348"/>
      <c r="K86" s="348"/>
      <c r="L86" s="348"/>
    </row>
    <row r="87" spans="1:14" ht="39.75" customHeight="1">
      <c r="A87" s="125"/>
      <c r="B87" s="125"/>
      <c r="C87" s="125"/>
      <c r="D87" s="125"/>
      <c r="E87" s="126"/>
      <c r="F87" s="127"/>
      <c r="G87" s="127"/>
      <c r="H87" s="126"/>
      <c r="I87" s="126"/>
      <c r="J87" s="127"/>
      <c r="K87" s="127"/>
      <c r="L87" s="127"/>
    </row>
    <row r="88" spans="1:14" ht="29.25" customHeight="1">
      <c r="A88" s="125"/>
      <c r="B88" s="125"/>
      <c r="C88" s="125"/>
      <c r="D88" s="125"/>
      <c r="E88" s="126"/>
      <c r="F88" s="127"/>
      <c r="G88" s="127"/>
      <c r="H88" s="126"/>
      <c r="I88" s="126"/>
      <c r="J88" s="127"/>
      <c r="K88" s="127"/>
      <c r="L88" s="127"/>
    </row>
    <row r="89" spans="1:14" ht="29.25" customHeight="1">
      <c r="A89" s="125"/>
      <c r="B89" s="125"/>
      <c r="C89" s="125"/>
      <c r="D89" s="125"/>
      <c r="E89" s="126"/>
      <c r="F89" s="127"/>
      <c r="G89" s="127"/>
      <c r="H89" s="126"/>
      <c r="I89" s="126"/>
      <c r="J89" s="127"/>
      <c r="K89" s="127"/>
      <c r="L89" s="127"/>
    </row>
    <row r="90" spans="1:14" ht="29.25" customHeight="1">
      <c r="A90" s="125"/>
      <c r="B90" s="125"/>
      <c r="C90" s="125"/>
      <c r="D90" s="125"/>
      <c r="E90" s="126"/>
      <c r="F90" s="127"/>
      <c r="G90" s="127"/>
      <c r="H90" s="126"/>
      <c r="I90" s="126"/>
      <c r="J90" s="127"/>
      <c r="K90" s="127"/>
      <c r="L90" s="127"/>
    </row>
    <row r="91" spans="1:14" ht="29.25" customHeight="1">
      <c r="A91" s="766" t="s">
        <v>690</v>
      </c>
      <c r="B91" s="766"/>
      <c r="C91" s="766"/>
      <c r="D91" s="766"/>
      <c r="E91" s="766"/>
      <c r="F91" s="766"/>
      <c r="G91" s="766"/>
      <c r="H91" s="766"/>
      <c r="I91" s="766"/>
      <c r="J91" s="766"/>
      <c r="K91" s="766"/>
      <c r="L91" s="766"/>
    </row>
    <row r="92" spans="1:14" s="5" customFormat="1" ht="27.75" customHeight="1">
      <c r="A92" s="654" t="s">
        <v>1</v>
      </c>
      <c r="B92" s="632" t="s">
        <v>755</v>
      </c>
      <c r="C92" s="646" t="s">
        <v>21</v>
      </c>
      <c r="D92" s="647"/>
      <c r="E92" s="652" t="s">
        <v>756</v>
      </c>
      <c r="F92" s="654" t="s">
        <v>3</v>
      </c>
      <c r="G92" s="654"/>
      <c r="H92" s="654"/>
      <c r="I92" s="654"/>
      <c r="J92" s="654" t="s">
        <v>761</v>
      </c>
      <c r="K92" s="654"/>
      <c r="L92" s="654"/>
      <c r="M92" s="746" t="s">
        <v>752</v>
      </c>
      <c r="N92" s="747"/>
    </row>
    <row r="93" spans="1:14" s="5" customFormat="1" ht="40.5" customHeight="1">
      <c r="A93" s="654"/>
      <c r="B93" s="633"/>
      <c r="C93" s="648"/>
      <c r="D93" s="649"/>
      <c r="E93" s="652"/>
      <c r="F93" s="652" t="s">
        <v>757</v>
      </c>
      <c r="G93" s="652" t="s">
        <v>5</v>
      </c>
      <c r="H93" s="652" t="s">
        <v>6</v>
      </c>
      <c r="I93" s="652"/>
      <c r="J93" s="652" t="s">
        <v>22</v>
      </c>
      <c r="K93" s="652" t="s">
        <v>762</v>
      </c>
      <c r="L93" s="654" t="s">
        <v>8</v>
      </c>
      <c r="M93" s="748"/>
      <c r="N93" s="749"/>
    </row>
    <row r="94" spans="1:14" s="5" customFormat="1" ht="58.5" customHeight="1">
      <c r="A94" s="632"/>
      <c r="B94" s="634"/>
      <c r="C94" s="650"/>
      <c r="D94" s="651"/>
      <c r="E94" s="653"/>
      <c r="F94" s="653"/>
      <c r="G94" s="653"/>
      <c r="H94" s="381" t="s">
        <v>9</v>
      </c>
      <c r="I94" s="381" t="s">
        <v>10</v>
      </c>
      <c r="J94" s="653"/>
      <c r="K94" s="632"/>
      <c r="L94" s="632"/>
      <c r="M94" s="439" t="s">
        <v>753</v>
      </c>
      <c r="N94" s="440" t="s">
        <v>754</v>
      </c>
    </row>
    <row r="95" spans="1:14" ht="21.95" customHeight="1">
      <c r="A95" s="19"/>
      <c r="B95" s="361" t="s">
        <v>11</v>
      </c>
      <c r="C95" s="19">
        <v>1</v>
      </c>
      <c r="D95" s="170" t="s">
        <v>132</v>
      </c>
      <c r="E95" s="19">
        <v>70</v>
      </c>
      <c r="F95" s="205">
        <v>1.5</v>
      </c>
      <c r="G95" s="205"/>
      <c r="H95" s="19">
        <v>50</v>
      </c>
      <c r="I95" s="19">
        <v>1</v>
      </c>
      <c r="J95" s="180">
        <v>31.5</v>
      </c>
      <c r="K95" s="183">
        <v>5.5</v>
      </c>
      <c r="L95" s="363">
        <f>K95+J95</f>
        <v>37</v>
      </c>
      <c r="M95" s="455">
        <v>0.56999999999999995</v>
      </c>
      <c r="N95" s="455">
        <f>M95*34.12</f>
        <v>19.448399999999996</v>
      </c>
    </row>
    <row r="96" spans="1:14" ht="21.95" customHeight="1">
      <c r="A96" s="25"/>
      <c r="B96" s="100" t="s">
        <v>861</v>
      </c>
      <c r="C96" s="25">
        <v>2</v>
      </c>
      <c r="D96" s="172" t="s">
        <v>601</v>
      </c>
      <c r="E96" s="25">
        <v>29</v>
      </c>
      <c r="F96" s="209">
        <v>1</v>
      </c>
      <c r="G96" s="209"/>
      <c r="H96" s="25">
        <v>100</v>
      </c>
      <c r="I96" s="25">
        <v>1</v>
      </c>
      <c r="J96" s="181">
        <v>25</v>
      </c>
      <c r="K96" s="184">
        <v>4</v>
      </c>
      <c r="L96" s="364">
        <f>K96+J96</f>
        <v>29</v>
      </c>
      <c r="M96" s="456">
        <v>0.76</v>
      </c>
      <c r="N96" s="456">
        <f t="shared" ref="N96:N104" si="11">M96*34.12</f>
        <v>25.931199999999997</v>
      </c>
    </row>
    <row r="97" spans="1:14" ht="21.95" customHeight="1">
      <c r="A97" s="25"/>
      <c r="B97" s="25"/>
      <c r="C97" s="25">
        <v>3</v>
      </c>
      <c r="D97" s="172" t="s">
        <v>691</v>
      </c>
      <c r="E97" s="25">
        <v>86</v>
      </c>
      <c r="F97" s="209">
        <v>0.2</v>
      </c>
      <c r="G97" s="209"/>
      <c r="H97" s="25">
        <v>100</v>
      </c>
      <c r="I97" s="25">
        <v>1</v>
      </c>
      <c r="J97" s="181">
        <v>13</v>
      </c>
      <c r="K97" s="184">
        <v>1.6</v>
      </c>
      <c r="L97" s="364">
        <f>K97+J97</f>
        <v>14.6</v>
      </c>
      <c r="M97" s="456">
        <v>0.76</v>
      </c>
      <c r="N97" s="456">
        <f t="shared" si="11"/>
        <v>25.931199999999997</v>
      </c>
    </row>
    <row r="98" spans="1:14" ht="21.95" customHeight="1">
      <c r="A98" s="25"/>
      <c r="B98" s="25"/>
      <c r="C98" s="25">
        <v>4</v>
      </c>
      <c r="D98" s="172" t="s">
        <v>692</v>
      </c>
      <c r="E98" s="25">
        <v>47</v>
      </c>
      <c r="F98" s="209">
        <v>0.3</v>
      </c>
      <c r="G98" s="209"/>
      <c r="H98" s="710">
        <v>100</v>
      </c>
      <c r="I98" s="710">
        <v>1</v>
      </c>
      <c r="J98" s="693">
        <v>22</v>
      </c>
      <c r="K98" s="767">
        <v>3.4</v>
      </c>
      <c r="L98" s="768">
        <f>K98+J98</f>
        <v>25.4</v>
      </c>
      <c r="M98" s="764">
        <v>0.76</v>
      </c>
      <c r="N98" s="764">
        <f t="shared" si="11"/>
        <v>25.931199999999997</v>
      </c>
    </row>
    <row r="99" spans="1:14" ht="21.95" customHeight="1">
      <c r="A99" s="25"/>
      <c r="B99" s="25"/>
      <c r="C99" s="25">
        <v>5</v>
      </c>
      <c r="D99" s="172" t="s">
        <v>693</v>
      </c>
      <c r="E99" s="25">
        <v>47</v>
      </c>
      <c r="F99" s="209">
        <v>0.5</v>
      </c>
      <c r="G99" s="209"/>
      <c r="H99" s="710"/>
      <c r="I99" s="710"/>
      <c r="J99" s="693"/>
      <c r="K99" s="767"/>
      <c r="L99" s="768"/>
      <c r="M99" s="764"/>
      <c r="N99" s="764"/>
    </row>
    <row r="100" spans="1:14" ht="21.95" customHeight="1">
      <c r="A100" s="25"/>
      <c r="B100" s="25"/>
      <c r="C100" s="25">
        <v>6</v>
      </c>
      <c r="D100" s="172" t="s">
        <v>72</v>
      </c>
      <c r="E100" s="25">
        <v>102</v>
      </c>
      <c r="F100" s="209">
        <v>0.8</v>
      </c>
      <c r="G100" s="209"/>
      <c r="H100" s="25">
        <v>100</v>
      </c>
      <c r="I100" s="25">
        <v>1</v>
      </c>
      <c r="J100" s="181">
        <v>22</v>
      </c>
      <c r="K100" s="184">
        <v>3.4</v>
      </c>
      <c r="L100" s="364">
        <f>K100+J100</f>
        <v>25.4</v>
      </c>
      <c r="M100" s="456">
        <v>0.76</v>
      </c>
      <c r="N100" s="456">
        <f t="shared" si="11"/>
        <v>25.931199999999997</v>
      </c>
    </row>
    <row r="101" spans="1:14" ht="21.95" customHeight="1">
      <c r="A101" s="25"/>
      <c r="B101" s="25"/>
      <c r="C101" s="25">
        <v>7</v>
      </c>
      <c r="D101" s="172" t="s">
        <v>694</v>
      </c>
      <c r="E101" s="25">
        <v>55</v>
      </c>
      <c r="F101" s="209">
        <v>0.8</v>
      </c>
      <c r="G101" s="209"/>
      <c r="H101" s="25">
        <v>50</v>
      </c>
      <c r="I101" s="25">
        <v>1</v>
      </c>
      <c r="J101" s="181">
        <v>21</v>
      </c>
      <c r="K101" s="184">
        <v>3.4</v>
      </c>
      <c r="L101" s="364">
        <f>K101+J101</f>
        <v>24.4</v>
      </c>
      <c r="M101" s="456">
        <v>0.56999999999999995</v>
      </c>
      <c r="N101" s="456">
        <f t="shared" si="11"/>
        <v>19.448399999999996</v>
      </c>
    </row>
    <row r="102" spans="1:14" ht="21.95" customHeight="1">
      <c r="A102" s="25"/>
      <c r="B102" s="25"/>
      <c r="C102" s="25">
        <v>8</v>
      </c>
      <c r="D102" s="172" t="s">
        <v>695</v>
      </c>
      <c r="E102" s="25">
        <v>25</v>
      </c>
      <c r="F102" s="708">
        <v>0.8</v>
      </c>
      <c r="G102" s="209"/>
      <c r="H102" s="710">
        <v>100</v>
      </c>
      <c r="I102" s="710">
        <v>1</v>
      </c>
      <c r="J102" s="693">
        <v>22</v>
      </c>
      <c r="K102" s="767">
        <v>3.4</v>
      </c>
      <c r="L102" s="693">
        <f>K102+J102</f>
        <v>25.4</v>
      </c>
      <c r="M102" s="764">
        <v>0.76</v>
      </c>
      <c r="N102" s="764">
        <f t="shared" si="11"/>
        <v>25.931199999999997</v>
      </c>
    </row>
    <row r="103" spans="1:14" ht="21.95" customHeight="1">
      <c r="A103" s="25"/>
      <c r="B103" s="25"/>
      <c r="C103" s="25">
        <v>9</v>
      </c>
      <c r="D103" s="172" t="s">
        <v>696</v>
      </c>
      <c r="E103" s="25">
        <v>56</v>
      </c>
      <c r="F103" s="708"/>
      <c r="G103" s="209"/>
      <c r="H103" s="710"/>
      <c r="I103" s="710"/>
      <c r="J103" s="693"/>
      <c r="K103" s="767"/>
      <c r="L103" s="693"/>
      <c r="M103" s="764"/>
      <c r="N103" s="764"/>
    </row>
    <row r="104" spans="1:14" ht="21.95" customHeight="1">
      <c r="A104" s="32"/>
      <c r="B104" s="32"/>
      <c r="C104" s="32">
        <v>10</v>
      </c>
      <c r="D104" s="176" t="s">
        <v>697</v>
      </c>
      <c r="E104" s="32">
        <v>93</v>
      </c>
      <c r="F104" s="210">
        <v>1.2</v>
      </c>
      <c r="G104" s="210"/>
      <c r="H104" s="32">
        <v>100</v>
      </c>
      <c r="I104" s="32">
        <v>1</v>
      </c>
      <c r="J104" s="182">
        <v>28</v>
      </c>
      <c r="K104" s="185">
        <v>4.5999999999999996</v>
      </c>
      <c r="L104" s="365">
        <f>K104+J104</f>
        <v>32.6</v>
      </c>
      <c r="M104" s="457">
        <v>0.76</v>
      </c>
      <c r="N104" s="457">
        <f t="shared" si="11"/>
        <v>25.931199999999997</v>
      </c>
    </row>
    <row r="105" spans="1:14" s="5" customFormat="1" ht="21.95" customHeight="1">
      <c r="A105" s="64"/>
      <c r="B105" s="64" t="s">
        <v>759</v>
      </c>
      <c r="C105" s="64"/>
      <c r="D105" s="65" t="s">
        <v>777</v>
      </c>
      <c r="E105" s="366">
        <f>SUM(E95:E104)</f>
        <v>610</v>
      </c>
      <c r="F105" s="367">
        <f>SUM(F95:F104)</f>
        <v>7.1</v>
      </c>
      <c r="G105" s="367"/>
      <c r="H105" s="366">
        <f t="shared" ref="H105:M105" si="12">SUM(H95:H104)</f>
        <v>700</v>
      </c>
      <c r="I105" s="366">
        <f t="shared" si="12"/>
        <v>8</v>
      </c>
      <c r="J105" s="368">
        <f t="shared" si="12"/>
        <v>184.5</v>
      </c>
      <c r="K105" s="368">
        <f t="shared" si="12"/>
        <v>29.299999999999997</v>
      </c>
      <c r="L105" s="368">
        <f t="shared" si="12"/>
        <v>213.8</v>
      </c>
      <c r="M105" s="454">
        <f t="shared" si="12"/>
        <v>5.6999999999999993</v>
      </c>
      <c r="N105" s="454">
        <f t="shared" ref="N105" si="13">SUM(N95:N104)</f>
        <v>194.48399999999995</v>
      </c>
    </row>
    <row r="106" spans="1:14" s="5" customFormat="1" ht="21.95" customHeight="1">
      <c r="A106" s="64"/>
      <c r="B106" s="64" t="s">
        <v>759</v>
      </c>
      <c r="C106" s="64"/>
      <c r="D106" s="65" t="s">
        <v>849</v>
      </c>
      <c r="E106" s="66">
        <f>E105+E85+E33</f>
        <v>3876</v>
      </c>
      <c r="F106" s="67">
        <f>F105+F85+F33</f>
        <v>43.399999999999991</v>
      </c>
      <c r="G106" s="67"/>
      <c r="H106" s="66">
        <f>H105+H85+H33</f>
        <v>4250</v>
      </c>
      <c r="I106" s="66">
        <f>I105+I85+I33</f>
        <v>54</v>
      </c>
      <c r="J106" s="69">
        <f>J105+J85+J33</f>
        <v>1167.5</v>
      </c>
      <c r="K106" s="69">
        <f>K105+K85+K33</f>
        <v>184.2</v>
      </c>
      <c r="L106" s="69">
        <f>L105+L85+L33</f>
        <v>1351.7</v>
      </c>
      <c r="M106" s="420">
        <f t="shared" ref="M106:N106" si="14">M105+M85+M33</f>
        <v>36.53</v>
      </c>
      <c r="N106" s="420">
        <f t="shared" si="14"/>
        <v>1246.4035999999996</v>
      </c>
    </row>
    <row r="107" spans="1:14" s="5" customFormat="1" ht="18">
      <c r="A107" s="347"/>
      <c r="B107" s="347"/>
      <c r="C107" s="347"/>
      <c r="D107" s="347"/>
      <c r="E107" s="266"/>
      <c r="F107" s="14"/>
      <c r="G107" s="14"/>
      <c r="H107" s="266"/>
      <c r="I107" s="266"/>
      <c r="J107" s="266"/>
      <c r="K107" s="266"/>
      <c r="L107" s="14"/>
      <c r="M107" s="430"/>
      <c r="N107" s="430"/>
    </row>
    <row r="108" spans="1:14">
      <c r="A108" s="125"/>
      <c r="B108" s="125"/>
      <c r="C108" s="125"/>
      <c r="D108" s="125"/>
      <c r="E108" s="126"/>
      <c r="F108" s="127"/>
      <c r="G108" s="127"/>
      <c r="H108" s="126"/>
      <c r="I108" s="126"/>
      <c r="J108" s="126"/>
      <c r="K108" s="126"/>
      <c r="L108" s="127"/>
    </row>
    <row r="109" spans="1:14">
      <c r="A109" s="125"/>
      <c r="B109" s="125"/>
      <c r="C109" s="125"/>
      <c r="D109" s="125"/>
      <c r="E109" s="126"/>
      <c r="F109" s="127"/>
      <c r="G109" s="127"/>
      <c r="H109" s="126"/>
      <c r="I109" s="126"/>
      <c r="J109" s="126"/>
      <c r="K109" s="126"/>
      <c r="L109" s="127"/>
    </row>
    <row r="110" spans="1:14">
      <c r="A110" s="125"/>
      <c r="B110" s="125"/>
      <c r="C110" s="125"/>
      <c r="D110" s="125"/>
      <c r="E110" s="126"/>
      <c r="F110" s="127"/>
      <c r="G110" s="127"/>
      <c r="H110" s="126"/>
      <c r="I110" s="126"/>
      <c r="J110" s="126"/>
      <c r="K110" s="126"/>
      <c r="L110" s="127"/>
    </row>
    <row r="111" spans="1:14" ht="29.25" customHeight="1">
      <c r="A111" s="766" t="s">
        <v>698</v>
      </c>
      <c r="B111" s="766"/>
      <c r="C111" s="766"/>
      <c r="D111" s="766"/>
      <c r="E111" s="766"/>
      <c r="F111" s="766"/>
      <c r="G111" s="766"/>
      <c r="H111" s="766"/>
      <c r="I111" s="766"/>
      <c r="J111" s="766"/>
      <c r="K111" s="766"/>
      <c r="L111" s="766"/>
    </row>
    <row r="112" spans="1:14" s="5" customFormat="1" ht="27.75" customHeight="1">
      <c r="A112" s="654" t="s">
        <v>1</v>
      </c>
      <c r="B112" s="632" t="s">
        <v>755</v>
      </c>
      <c r="C112" s="646" t="s">
        <v>21</v>
      </c>
      <c r="D112" s="647"/>
      <c r="E112" s="652" t="s">
        <v>756</v>
      </c>
      <c r="F112" s="654" t="s">
        <v>3</v>
      </c>
      <c r="G112" s="654"/>
      <c r="H112" s="654"/>
      <c r="I112" s="654"/>
      <c r="J112" s="654" t="s">
        <v>761</v>
      </c>
      <c r="K112" s="654"/>
      <c r="L112" s="654"/>
      <c r="M112" s="746" t="s">
        <v>752</v>
      </c>
      <c r="N112" s="747"/>
    </row>
    <row r="113" spans="1:14" s="5" customFormat="1" ht="40.5" customHeight="1">
      <c r="A113" s="654"/>
      <c r="B113" s="633"/>
      <c r="C113" s="648"/>
      <c r="D113" s="649"/>
      <c r="E113" s="652"/>
      <c r="F113" s="652" t="s">
        <v>757</v>
      </c>
      <c r="G113" s="652" t="s">
        <v>5</v>
      </c>
      <c r="H113" s="652" t="s">
        <v>6</v>
      </c>
      <c r="I113" s="652"/>
      <c r="J113" s="652" t="s">
        <v>22</v>
      </c>
      <c r="K113" s="652" t="s">
        <v>762</v>
      </c>
      <c r="L113" s="654" t="s">
        <v>8</v>
      </c>
      <c r="M113" s="748"/>
      <c r="N113" s="749"/>
    </row>
    <row r="114" spans="1:14" s="5" customFormat="1" ht="58.5" customHeight="1">
      <c r="A114" s="632"/>
      <c r="B114" s="634"/>
      <c r="C114" s="650"/>
      <c r="D114" s="651"/>
      <c r="E114" s="653"/>
      <c r="F114" s="653"/>
      <c r="G114" s="653"/>
      <c r="H114" s="381" t="s">
        <v>9</v>
      </c>
      <c r="I114" s="381" t="s">
        <v>10</v>
      </c>
      <c r="J114" s="653"/>
      <c r="K114" s="632"/>
      <c r="L114" s="632"/>
      <c r="M114" s="439" t="s">
        <v>753</v>
      </c>
      <c r="N114" s="440" t="s">
        <v>754</v>
      </c>
    </row>
    <row r="115" spans="1:14" ht="21.95" customHeight="1">
      <c r="A115" s="82"/>
      <c r="B115" s="361" t="s">
        <v>862</v>
      </c>
      <c r="C115" s="82">
        <v>1</v>
      </c>
      <c r="D115" s="278" t="s">
        <v>699</v>
      </c>
      <c r="E115" s="19">
        <v>182</v>
      </c>
      <c r="F115" s="205">
        <v>0.3</v>
      </c>
      <c r="G115" s="17"/>
      <c r="H115" s="19">
        <v>100</v>
      </c>
      <c r="I115" s="19">
        <v>1</v>
      </c>
      <c r="J115" s="205">
        <v>14.5</v>
      </c>
      <c r="K115" s="369">
        <v>1.9</v>
      </c>
      <c r="L115" s="359">
        <f>K115+J115</f>
        <v>16.399999999999999</v>
      </c>
      <c r="M115" s="421">
        <v>0.76</v>
      </c>
      <c r="N115" s="421">
        <f>M115*34.12</f>
        <v>25.931199999999997</v>
      </c>
    </row>
    <row r="116" spans="1:14" ht="21.95" customHeight="1">
      <c r="A116" s="87"/>
      <c r="B116" s="100" t="s">
        <v>863</v>
      </c>
      <c r="C116" s="87">
        <v>2</v>
      </c>
      <c r="D116" s="101" t="s">
        <v>700</v>
      </c>
      <c r="E116" s="25">
        <v>368</v>
      </c>
      <c r="F116" s="209">
        <v>1.2</v>
      </c>
      <c r="G116" s="23"/>
      <c r="H116" s="25">
        <v>160</v>
      </c>
      <c r="I116" s="25">
        <v>1</v>
      </c>
      <c r="J116" s="209">
        <v>29</v>
      </c>
      <c r="K116" s="370">
        <v>4.5999999999999996</v>
      </c>
      <c r="L116" s="211">
        <f t="shared" ref="L116:L150" si="15">K116+J116</f>
        <v>33.6</v>
      </c>
      <c r="M116" s="422">
        <v>0.8</v>
      </c>
      <c r="N116" s="422">
        <f t="shared" ref="N116:N131" si="16">M116*34.12</f>
        <v>27.295999999999999</v>
      </c>
    </row>
    <row r="117" spans="1:14" ht="21.95" customHeight="1">
      <c r="A117" s="87"/>
      <c r="B117" s="87"/>
      <c r="C117" s="87">
        <v>3</v>
      </c>
      <c r="D117" s="101" t="s">
        <v>701</v>
      </c>
      <c r="E117" s="25">
        <v>119</v>
      </c>
      <c r="F117" s="209">
        <v>1.7</v>
      </c>
      <c r="G117" s="23"/>
      <c r="H117" s="25">
        <v>160</v>
      </c>
      <c r="I117" s="25">
        <v>1</v>
      </c>
      <c r="J117" s="209">
        <v>36.5</v>
      </c>
      <c r="K117" s="370">
        <v>6.1</v>
      </c>
      <c r="L117" s="211">
        <f t="shared" si="15"/>
        <v>42.6</v>
      </c>
      <c r="M117" s="422">
        <v>0.8</v>
      </c>
      <c r="N117" s="422">
        <f t="shared" si="16"/>
        <v>27.295999999999999</v>
      </c>
    </row>
    <row r="118" spans="1:14" ht="21.95" customHeight="1">
      <c r="A118" s="87"/>
      <c r="B118" s="87"/>
      <c r="C118" s="87">
        <v>4</v>
      </c>
      <c r="D118" s="101" t="s">
        <v>702</v>
      </c>
      <c r="E118" s="25">
        <v>251</v>
      </c>
      <c r="F118" s="209">
        <v>1.8</v>
      </c>
      <c r="G118" s="23"/>
      <c r="H118" s="25">
        <v>100</v>
      </c>
      <c r="I118" s="25">
        <v>1</v>
      </c>
      <c r="J118" s="209">
        <v>37</v>
      </c>
      <c r="K118" s="370">
        <v>6.4</v>
      </c>
      <c r="L118" s="211">
        <f t="shared" si="15"/>
        <v>43.4</v>
      </c>
      <c r="M118" s="422">
        <v>0.76</v>
      </c>
      <c r="N118" s="422">
        <f t="shared" si="16"/>
        <v>25.931199999999997</v>
      </c>
    </row>
    <row r="119" spans="1:14" ht="21.95" customHeight="1">
      <c r="A119" s="87"/>
      <c r="B119" s="87"/>
      <c r="C119" s="87">
        <v>5</v>
      </c>
      <c r="D119" s="101" t="s">
        <v>703</v>
      </c>
      <c r="E119" s="25">
        <v>160</v>
      </c>
      <c r="F119" s="209">
        <v>2</v>
      </c>
      <c r="G119" s="23"/>
      <c r="H119" s="25">
        <v>100</v>
      </c>
      <c r="I119" s="25">
        <v>1</v>
      </c>
      <c r="J119" s="209">
        <v>40</v>
      </c>
      <c r="K119" s="370">
        <v>7</v>
      </c>
      <c r="L119" s="211">
        <f t="shared" si="15"/>
        <v>47</v>
      </c>
      <c r="M119" s="422">
        <v>0.76</v>
      </c>
      <c r="N119" s="422">
        <f t="shared" si="16"/>
        <v>25.931199999999997</v>
      </c>
    </row>
    <row r="120" spans="1:14" ht="21.95" customHeight="1">
      <c r="A120" s="87"/>
      <c r="B120" s="87"/>
      <c r="C120" s="87">
        <v>6</v>
      </c>
      <c r="D120" s="101" t="s">
        <v>704</v>
      </c>
      <c r="E120" s="25">
        <v>157</v>
      </c>
      <c r="F120" s="209">
        <v>2</v>
      </c>
      <c r="G120" s="23"/>
      <c r="H120" s="25">
        <v>100</v>
      </c>
      <c r="I120" s="25">
        <v>1</v>
      </c>
      <c r="J120" s="209">
        <v>40</v>
      </c>
      <c r="K120" s="370">
        <v>7</v>
      </c>
      <c r="L120" s="211">
        <f t="shared" si="15"/>
        <v>47</v>
      </c>
      <c r="M120" s="422">
        <v>0.76</v>
      </c>
      <c r="N120" s="422">
        <f t="shared" si="16"/>
        <v>25.931199999999997</v>
      </c>
    </row>
    <row r="121" spans="1:14" ht="21.95" customHeight="1">
      <c r="A121" s="87"/>
      <c r="B121" s="87"/>
      <c r="C121" s="87">
        <v>7</v>
      </c>
      <c r="D121" s="101" t="s">
        <v>705</v>
      </c>
      <c r="E121" s="25">
        <v>138</v>
      </c>
      <c r="F121" s="209">
        <v>2</v>
      </c>
      <c r="G121" s="23"/>
      <c r="H121" s="25">
        <v>100</v>
      </c>
      <c r="I121" s="25">
        <v>1</v>
      </c>
      <c r="J121" s="209">
        <v>40</v>
      </c>
      <c r="K121" s="370">
        <v>7</v>
      </c>
      <c r="L121" s="211">
        <f t="shared" si="15"/>
        <v>47</v>
      </c>
      <c r="M121" s="422">
        <v>0.76</v>
      </c>
      <c r="N121" s="422">
        <f t="shared" si="16"/>
        <v>25.931199999999997</v>
      </c>
    </row>
    <row r="122" spans="1:14" ht="21.95" customHeight="1">
      <c r="A122" s="87"/>
      <c r="B122" s="87"/>
      <c r="C122" s="87">
        <v>8</v>
      </c>
      <c r="D122" s="101" t="s">
        <v>706</v>
      </c>
      <c r="E122" s="25">
        <v>75</v>
      </c>
      <c r="F122" s="209">
        <v>2</v>
      </c>
      <c r="G122" s="23"/>
      <c r="H122" s="25">
        <v>100</v>
      </c>
      <c r="I122" s="25">
        <v>1</v>
      </c>
      <c r="J122" s="209">
        <v>40</v>
      </c>
      <c r="K122" s="370">
        <v>7</v>
      </c>
      <c r="L122" s="211">
        <f t="shared" si="15"/>
        <v>47</v>
      </c>
      <c r="M122" s="422">
        <v>0.76</v>
      </c>
      <c r="N122" s="422">
        <f t="shared" si="16"/>
        <v>25.931199999999997</v>
      </c>
    </row>
    <row r="123" spans="1:14" ht="21.95" customHeight="1">
      <c r="A123" s="87"/>
      <c r="B123" s="87"/>
      <c r="C123" s="87">
        <v>9</v>
      </c>
      <c r="D123" s="101" t="s">
        <v>707</v>
      </c>
      <c r="E123" s="25">
        <v>176</v>
      </c>
      <c r="F123" s="209">
        <v>2</v>
      </c>
      <c r="G123" s="23"/>
      <c r="H123" s="25">
        <v>100</v>
      </c>
      <c r="I123" s="25">
        <v>1</v>
      </c>
      <c r="J123" s="209">
        <v>40</v>
      </c>
      <c r="K123" s="370">
        <v>7</v>
      </c>
      <c r="L123" s="211">
        <f t="shared" si="15"/>
        <v>47</v>
      </c>
      <c r="M123" s="422">
        <v>0.76</v>
      </c>
      <c r="N123" s="422">
        <f t="shared" si="16"/>
        <v>25.931199999999997</v>
      </c>
    </row>
    <row r="124" spans="1:14" ht="21.95" customHeight="1">
      <c r="A124" s="87"/>
      <c r="B124" s="87"/>
      <c r="C124" s="87">
        <v>10</v>
      </c>
      <c r="D124" s="101" t="s">
        <v>708</v>
      </c>
      <c r="E124" s="25">
        <v>86</v>
      </c>
      <c r="F124" s="209">
        <v>2</v>
      </c>
      <c r="G124" s="23"/>
      <c r="H124" s="25">
        <v>100</v>
      </c>
      <c r="I124" s="25">
        <v>1</v>
      </c>
      <c r="J124" s="209">
        <v>40</v>
      </c>
      <c r="K124" s="370">
        <v>7</v>
      </c>
      <c r="L124" s="211">
        <f t="shared" si="15"/>
        <v>47</v>
      </c>
      <c r="M124" s="422">
        <v>0.76</v>
      </c>
      <c r="N124" s="422">
        <f t="shared" si="16"/>
        <v>25.931199999999997</v>
      </c>
    </row>
    <row r="125" spans="1:14" ht="21.95" customHeight="1">
      <c r="A125" s="87"/>
      <c r="B125" s="87"/>
      <c r="C125" s="87">
        <v>11</v>
      </c>
      <c r="D125" s="101" t="s">
        <v>709</v>
      </c>
      <c r="E125" s="25">
        <v>193</v>
      </c>
      <c r="F125" s="209">
        <v>0.4</v>
      </c>
      <c r="G125" s="23"/>
      <c r="H125" s="25">
        <v>160</v>
      </c>
      <c r="I125" s="25">
        <v>1</v>
      </c>
      <c r="J125" s="209">
        <v>17</v>
      </c>
      <c r="K125" s="370">
        <v>2.2000000000000002</v>
      </c>
      <c r="L125" s="211">
        <f t="shared" si="15"/>
        <v>19.2</v>
      </c>
      <c r="M125" s="422">
        <v>0.8</v>
      </c>
      <c r="N125" s="422">
        <f t="shared" si="16"/>
        <v>27.295999999999999</v>
      </c>
    </row>
    <row r="126" spans="1:14" ht="21.95" customHeight="1">
      <c r="A126" s="87"/>
      <c r="B126" s="87"/>
      <c r="C126" s="87">
        <v>12</v>
      </c>
      <c r="D126" s="101" t="s">
        <v>17</v>
      </c>
      <c r="E126" s="25">
        <v>43</v>
      </c>
      <c r="F126" s="209">
        <v>1</v>
      </c>
      <c r="G126" s="23"/>
      <c r="H126" s="25">
        <v>100</v>
      </c>
      <c r="I126" s="25">
        <v>1</v>
      </c>
      <c r="J126" s="209">
        <v>25</v>
      </c>
      <c r="K126" s="370">
        <v>4</v>
      </c>
      <c r="L126" s="211">
        <f t="shared" si="15"/>
        <v>29</v>
      </c>
      <c r="M126" s="422">
        <v>0.76</v>
      </c>
      <c r="N126" s="422">
        <f t="shared" si="16"/>
        <v>25.931199999999997</v>
      </c>
    </row>
    <row r="127" spans="1:14" ht="21.95" customHeight="1">
      <c r="A127" s="87"/>
      <c r="B127" s="87"/>
      <c r="C127" s="87">
        <v>13</v>
      </c>
      <c r="D127" s="101" t="s">
        <v>710</v>
      </c>
      <c r="E127" s="25">
        <v>99</v>
      </c>
      <c r="F127" s="209">
        <v>1</v>
      </c>
      <c r="G127" s="23"/>
      <c r="H127" s="25">
        <v>100</v>
      </c>
      <c r="I127" s="25">
        <v>1</v>
      </c>
      <c r="J127" s="209">
        <v>25</v>
      </c>
      <c r="K127" s="370">
        <v>4</v>
      </c>
      <c r="L127" s="211">
        <f t="shared" si="15"/>
        <v>29</v>
      </c>
      <c r="M127" s="422">
        <v>0.76</v>
      </c>
      <c r="N127" s="422">
        <f t="shared" si="16"/>
        <v>25.931199999999997</v>
      </c>
    </row>
    <row r="128" spans="1:14" ht="21.95" customHeight="1">
      <c r="A128" s="87"/>
      <c r="B128" s="87"/>
      <c r="C128" s="87">
        <v>14</v>
      </c>
      <c r="D128" s="101" t="s">
        <v>177</v>
      </c>
      <c r="E128" s="25">
        <v>132</v>
      </c>
      <c r="F128" s="209">
        <v>1</v>
      </c>
      <c r="G128" s="23"/>
      <c r="H128" s="25">
        <v>100</v>
      </c>
      <c r="I128" s="25">
        <v>1</v>
      </c>
      <c r="J128" s="209">
        <v>25</v>
      </c>
      <c r="K128" s="370">
        <v>4</v>
      </c>
      <c r="L128" s="211">
        <f t="shared" si="15"/>
        <v>29</v>
      </c>
      <c r="M128" s="422">
        <v>0.76</v>
      </c>
      <c r="N128" s="422">
        <f t="shared" si="16"/>
        <v>25.931199999999997</v>
      </c>
    </row>
    <row r="129" spans="1:14" ht="21.95" customHeight="1">
      <c r="A129" s="87"/>
      <c r="B129" s="87"/>
      <c r="C129" s="87">
        <v>15</v>
      </c>
      <c r="D129" s="101" t="s">
        <v>711</v>
      </c>
      <c r="E129" s="25">
        <v>96</v>
      </c>
      <c r="F129" s="209">
        <v>0.8</v>
      </c>
      <c r="G129" s="23"/>
      <c r="H129" s="25">
        <v>100</v>
      </c>
      <c r="I129" s="25">
        <v>1</v>
      </c>
      <c r="J129" s="209">
        <v>22</v>
      </c>
      <c r="K129" s="370">
        <v>3.4</v>
      </c>
      <c r="L129" s="211">
        <f t="shared" si="15"/>
        <v>25.4</v>
      </c>
      <c r="M129" s="422">
        <v>0.76</v>
      </c>
      <c r="N129" s="422">
        <f t="shared" si="16"/>
        <v>25.931199999999997</v>
      </c>
    </row>
    <row r="130" spans="1:14" ht="21.95" customHeight="1">
      <c r="A130" s="87"/>
      <c r="B130" s="87"/>
      <c r="C130" s="87">
        <v>16</v>
      </c>
      <c r="D130" s="101" t="s">
        <v>712</v>
      </c>
      <c r="E130" s="25">
        <v>22</v>
      </c>
      <c r="F130" s="209">
        <v>2</v>
      </c>
      <c r="G130" s="23"/>
      <c r="H130" s="25">
        <v>100</v>
      </c>
      <c r="I130" s="25">
        <v>1</v>
      </c>
      <c r="J130" s="209">
        <v>40</v>
      </c>
      <c r="K130" s="370">
        <v>7</v>
      </c>
      <c r="L130" s="211">
        <f t="shared" si="15"/>
        <v>47</v>
      </c>
      <c r="M130" s="422">
        <v>0.76</v>
      </c>
      <c r="N130" s="422">
        <f t="shared" si="16"/>
        <v>25.931199999999997</v>
      </c>
    </row>
    <row r="131" spans="1:14" ht="21.95" customHeight="1">
      <c r="A131" s="92">
        <v>17</v>
      </c>
      <c r="B131" s="92"/>
      <c r="C131" s="92">
        <v>17</v>
      </c>
      <c r="D131" s="290" t="s">
        <v>713</v>
      </c>
      <c r="E131" s="32">
        <v>42</v>
      </c>
      <c r="F131" s="210">
        <v>1</v>
      </c>
      <c r="G131" s="30"/>
      <c r="H131" s="32">
        <v>100</v>
      </c>
      <c r="I131" s="32">
        <v>1</v>
      </c>
      <c r="J131" s="210">
        <v>25</v>
      </c>
      <c r="K131" s="371">
        <v>4</v>
      </c>
      <c r="L131" s="360">
        <f t="shared" si="15"/>
        <v>29</v>
      </c>
      <c r="M131" s="423">
        <v>0.76</v>
      </c>
      <c r="N131" s="423">
        <f t="shared" si="16"/>
        <v>25.931199999999997</v>
      </c>
    </row>
    <row r="132" spans="1:14" ht="23.25" customHeight="1">
      <c r="A132" s="766" t="s">
        <v>698</v>
      </c>
      <c r="B132" s="766"/>
      <c r="C132" s="766"/>
      <c r="D132" s="766"/>
      <c r="E132" s="766"/>
      <c r="F132" s="766"/>
      <c r="G132" s="766"/>
      <c r="H132" s="766"/>
      <c r="I132" s="766"/>
      <c r="J132" s="766"/>
      <c r="K132" s="766"/>
      <c r="L132" s="766"/>
    </row>
    <row r="133" spans="1:14" s="5" customFormat="1" ht="27.75" customHeight="1">
      <c r="A133" s="654" t="s">
        <v>1</v>
      </c>
      <c r="B133" s="632" t="s">
        <v>755</v>
      </c>
      <c r="C133" s="646" t="s">
        <v>21</v>
      </c>
      <c r="D133" s="647"/>
      <c r="E133" s="652" t="s">
        <v>756</v>
      </c>
      <c r="F133" s="654" t="s">
        <v>3</v>
      </c>
      <c r="G133" s="654"/>
      <c r="H133" s="654"/>
      <c r="I133" s="654"/>
      <c r="J133" s="654" t="s">
        <v>761</v>
      </c>
      <c r="K133" s="654"/>
      <c r="L133" s="654"/>
      <c r="M133" s="746" t="s">
        <v>752</v>
      </c>
      <c r="N133" s="747"/>
    </row>
    <row r="134" spans="1:14" s="5" customFormat="1" ht="40.5" customHeight="1">
      <c r="A134" s="654"/>
      <c r="B134" s="633"/>
      <c r="C134" s="648"/>
      <c r="D134" s="649"/>
      <c r="E134" s="652"/>
      <c r="F134" s="652" t="s">
        <v>757</v>
      </c>
      <c r="G134" s="652" t="s">
        <v>5</v>
      </c>
      <c r="H134" s="652" t="s">
        <v>6</v>
      </c>
      <c r="I134" s="652"/>
      <c r="J134" s="652" t="s">
        <v>22</v>
      </c>
      <c r="K134" s="652" t="s">
        <v>762</v>
      </c>
      <c r="L134" s="654" t="s">
        <v>8</v>
      </c>
      <c r="M134" s="748"/>
      <c r="N134" s="749"/>
    </row>
    <row r="135" spans="1:14" s="5" customFormat="1" ht="58.5" customHeight="1">
      <c r="A135" s="632"/>
      <c r="B135" s="634"/>
      <c r="C135" s="650"/>
      <c r="D135" s="651"/>
      <c r="E135" s="653"/>
      <c r="F135" s="653"/>
      <c r="G135" s="653"/>
      <c r="H135" s="381" t="s">
        <v>9</v>
      </c>
      <c r="I135" s="381" t="s">
        <v>10</v>
      </c>
      <c r="J135" s="653"/>
      <c r="K135" s="632"/>
      <c r="L135" s="632"/>
      <c r="M135" s="439" t="s">
        <v>753</v>
      </c>
      <c r="N135" s="440" t="s">
        <v>754</v>
      </c>
    </row>
    <row r="136" spans="1:14" ht="21.95" customHeight="1">
      <c r="A136" s="82"/>
      <c r="B136" s="361" t="s">
        <v>862</v>
      </c>
      <c r="C136" s="82">
        <v>18</v>
      </c>
      <c r="D136" s="278" t="s">
        <v>714</v>
      </c>
      <c r="E136" s="19">
        <v>86</v>
      </c>
      <c r="F136" s="205">
        <v>0.4</v>
      </c>
      <c r="G136" s="17"/>
      <c r="H136" s="19">
        <v>100</v>
      </c>
      <c r="I136" s="19">
        <v>1</v>
      </c>
      <c r="J136" s="205">
        <v>16</v>
      </c>
      <c r="K136" s="369">
        <v>2.2000000000000002</v>
      </c>
      <c r="L136" s="359">
        <f t="shared" si="15"/>
        <v>18.2</v>
      </c>
      <c r="M136" s="421">
        <v>0.76</v>
      </c>
      <c r="N136" s="421">
        <f t="shared" ref="N136:N150" si="17">M136*34.12</f>
        <v>25.931199999999997</v>
      </c>
    </row>
    <row r="137" spans="1:14" ht="21.95" customHeight="1">
      <c r="A137" s="87"/>
      <c r="B137" s="100" t="s">
        <v>863</v>
      </c>
      <c r="C137" s="87">
        <v>19</v>
      </c>
      <c r="D137" s="101" t="s">
        <v>715</v>
      </c>
      <c r="E137" s="25">
        <v>43</v>
      </c>
      <c r="F137" s="209">
        <v>1</v>
      </c>
      <c r="G137" s="23"/>
      <c r="H137" s="25">
        <v>100</v>
      </c>
      <c r="I137" s="25">
        <v>1</v>
      </c>
      <c r="J137" s="209">
        <v>25</v>
      </c>
      <c r="K137" s="370">
        <v>4</v>
      </c>
      <c r="L137" s="211">
        <f t="shared" si="15"/>
        <v>29</v>
      </c>
      <c r="M137" s="422">
        <v>0.76</v>
      </c>
      <c r="N137" s="422">
        <f t="shared" si="17"/>
        <v>25.931199999999997</v>
      </c>
    </row>
    <row r="138" spans="1:14" ht="21.95" customHeight="1">
      <c r="A138" s="87"/>
      <c r="B138" s="87"/>
      <c r="C138" s="87">
        <v>20</v>
      </c>
      <c r="D138" s="101" t="s">
        <v>716</v>
      </c>
      <c r="E138" s="25">
        <v>38</v>
      </c>
      <c r="F138" s="209">
        <v>1</v>
      </c>
      <c r="G138" s="23"/>
      <c r="H138" s="25">
        <v>100</v>
      </c>
      <c r="I138" s="25">
        <v>1</v>
      </c>
      <c r="J138" s="209">
        <v>25</v>
      </c>
      <c r="K138" s="370">
        <v>4</v>
      </c>
      <c r="L138" s="211">
        <f t="shared" si="15"/>
        <v>29</v>
      </c>
      <c r="M138" s="422">
        <v>0.76</v>
      </c>
      <c r="N138" s="422">
        <f t="shared" si="17"/>
        <v>25.931199999999997</v>
      </c>
    </row>
    <row r="139" spans="1:14" ht="21.95" customHeight="1">
      <c r="A139" s="87"/>
      <c r="B139" s="87"/>
      <c r="C139" s="87">
        <v>21</v>
      </c>
      <c r="D139" s="101" t="s">
        <v>717</v>
      </c>
      <c r="E139" s="25">
        <v>32</v>
      </c>
      <c r="F139" s="209">
        <v>1.5</v>
      </c>
      <c r="G139" s="23"/>
      <c r="H139" s="25">
        <v>100</v>
      </c>
      <c r="I139" s="25">
        <v>1</v>
      </c>
      <c r="J139" s="209">
        <v>32.5</v>
      </c>
      <c r="K139" s="370">
        <v>5.5</v>
      </c>
      <c r="L139" s="211">
        <f t="shared" si="15"/>
        <v>38</v>
      </c>
      <c r="M139" s="422">
        <v>0.76</v>
      </c>
      <c r="N139" s="422">
        <f t="shared" si="17"/>
        <v>25.931199999999997</v>
      </c>
    </row>
    <row r="140" spans="1:14" ht="21.95" customHeight="1">
      <c r="A140" s="87"/>
      <c r="B140" s="87"/>
      <c r="C140" s="87">
        <v>22</v>
      </c>
      <c r="D140" s="101" t="s">
        <v>718</v>
      </c>
      <c r="E140" s="25">
        <v>158</v>
      </c>
      <c r="F140" s="209">
        <v>2</v>
      </c>
      <c r="G140" s="23"/>
      <c r="H140" s="25">
        <v>200</v>
      </c>
      <c r="I140" s="25">
        <v>1</v>
      </c>
      <c r="J140" s="209">
        <v>41.5</v>
      </c>
      <c r="K140" s="370">
        <v>7</v>
      </c>
      <c r="L140" s="211">
        <f t="shared" si="15"/>
        <v>48.5</v>
      </c>
      <c r="M140" s="427">
        <v>1</v>
      </c>
      <c r="N140" s="422">
        <f t="shared" si="17"/>
        <v>34.119999999999997</v>
      </c>
    </row>
    <row r="141" spans="1:14" ht="21.95" customHeight="1">
      <c r="A141" s="87"/>
      <c r="B141" s="87"/>
      <c r="C141" s="87">
        <v>23</v>
      </c>
      <c r="D141" s="101" t="s">
        <v>719</v>
      </c>
      <c r="E141" s="25">
        <v>148</v>
      </c>
      <c r="F141" s="209">
        <v>1.5</v>
      </c>
      <c r="G141" s="23"/>
      <c r="H141" s="25">
        <v>160</v>
      </c>
      <c r="I141" s="25">
        <v>1</v>
      </c>
      <c r="J141" s="209">
        <v>33.5</v>
      </c>
      <c r="K141" s="370">
        <v>5.5</v>
      </c>
      <c r="L141" s="211">
        <f t="shared" si="15"/>
        <v>39</v>
      </c>
      <c r="M141" s="427">
        <v>0.8</v>
      </c>
      <c r="N141" s="422">
        <f t="shared" si="17"/>
        <v>27.295999999999999</v>
      </c>
    </row>
    <row r="142" spans="1:14" ht="21.95" customHeight="1">
      <c r="A142" s="87"/>
      <c r="B142" s="87"/>
      <c r="C142" s="87">
        <v>24</v>
      </c>
      <c r="D142" s="101" t="s">
        <v>720</v>
      </c>
      <c r="E142" s="25">
        <v>120</v>
      </c>
      <c r="F142" s="209">
        <v>1.5</v>
      </c>
      <c r="G142" s="23"/>
      <c r="H142" s="25">
        <v>200</v>
      </c>
      <c r="I142" s="25">
        <v>1</v>
      </c>
      <c r="J142" s="209">
        <v>34</v>
      </c>
      <c r="K142" s="370">
        <v>5.5</v>
      </c>
      <c r="L142" s="211">
        <f t="shared" si="15"/>
        <v>39.5</v>
      </c>
      <c r="M142" s="427">
        <v>1</v>
      </c>
      <c r="N142" s="422">
        <f t="shared" si="17"/>
        <v>34.119999999999997</v>
      </c>
    </row>
    <row r="143" spans="1:14" ht="21.95" customHeight="1">
      <c r="A143" s="87"/>
      <c r="B143" s="87"/>
      <c r="C143" s="87">
        <v>25</v>
      </c>
      <c r="D143" s="101" t="s">
        <v>72</v>
      </c>
      <c r="E143" s="25">
        <v>45</v>
      </c>
      <c r="F143" s="209">
        <v>1</v>
      </c>
      <c r="G143" s="23"/>
      <c r="H143" s="25">
        <v>100</v>
      </c>
      <c r="I143" s="25">
        <v>1</v>
      </c>
      <c r="J143" s="209">
        <v>25</v>
      </c>
      <c r="K143" s="370">
        <v>4</v>
      </c>
      <c r="L143" s="211">
        <f t="shared" si="15"/>
        <v>29</v>
      </c>
      <c r="M143" s="427">
        <v>0.76</v>
      </c>
      <c r="N143" s="422">
        <f t="shared" si="17"/>
        <v>25.931199999999997</v>
      </c>
    </row>
    <row r="144" spans="1:14" ht="21.95" customHeight="1">
      <c r="A144" s="87"/>
      <c r="B144" s="87"/>
      <c r="C144" s="87">
        <v>26</v>
      </c>
      <c r="D144" s="101" t="s">
        <v>721</v>
      </c>
      <c r="E144" s="25">
        <v>93</v>
      </c>
      <c r="F144" s="209">
        <v>2</v>
      </c>
      <c r="G144" s="23"/>
      <c r="H144" s="25">
        <v>100</v>
      </c>
      <c r="I144" s="25">
        <v>1</v>
      </c>
      <c r="J144" s="209">
        <v>40</v>
      </c>
      <c r="K144" s="370">
        <v>7</v>
      </c>
      <c r="L144" s="211">
        <f t="shared" si="15"/>
        <v>47</v>
      </c>
      <c r="M144" s="427">
        <v>0.76</v>
      </c>
      <c r="N144" s="422">
        <f t="shared" si="17"/>
        <v>25.931199999999997</v>
      </c>
    </row>
    <row r="145" spans="1:14" ht="21.95" customHeight="1">
      <c r="A145" s="87"/>
      <c r="B145" s="87"/>
      <c r="C145" s="87">
        <v>27</v>
      </c>
      <c r="D145" s="101" t="s">
        <v>722</v>
      </c>
      <c r="E145" s="25">
        <v>70</v>
      </c>
      <c r="F145" s="209">
        <v>2</v>
      </c>
      <c r="G145" s="23"/>
      <c r="H145" s="25">
        <v>100</v>
      </c>
      <c r="I145" s="25">
        <v>1</v>
      </c>
      <c r="J145" s="209">
        <v>40</v>
      </c>
      <c r="K145" s="370">
        <v>7</v>
      </c>
      <c r="L145" s="211">
        <f t="shared" si="15"/>
        <v>47</v>
      </c>
      <c r="M145" s="427">
        <v>0.76</v>
      </c>
      <c r="N145" s="422">
        <f t="shared" si="17"/>
        <v>25.931199999999997</v>
      </c>
    </row>
    <row r="146" spans="1:14" ht="21.95" customHeight="1">
      <c r="A146" s="87"/>
      <c r="B146" s="87"/>
      <c r="C146" s="87">
        <v>28</v>
      </c>
      <c r="D146" s="101" t="s">
        <v>91</v>
      </c>
      <c r="E146" s="25">
        <v>57</v>
      </c>
      <c r="F146" s="209">
        <v>2</v>
      </c>
      <c r="G146" s="23"/>
      <c r="H146" s="25">
        <v>160</v>
      </c>
      <c r="I146" s="25">
        <v>1</v>
      </c>
      <c r="J146" s="209">
        <v>41</v>
      </c>
      <c r="K146" s="370">
        <v>7</v>
      </c>
      <c r="L146" s="211">
        <f t="shared" si="15"/>
        <v>48</v>
      </c>
      <c r="M146" s="427">
        <v>0.8</v>
      </c>
      <c r="N146" s="422">
        <f t="shared" si="17"/>
        <v>27.295999999999999</v>
      </c>
    </row>
    <row r="147" spans="1:14" ht="21.95" customHeight="1">
      <c r="A147" s="87"/>
      <c r="B147" s="87"/>
      <c r="C147" s="87">
        <v>29</v>
      </c>
      <c r="D147" s="101" t="s">
        <v>723</v>
      </c>
      <c r="E147" s="25">
        <v>110</v>
      </c>
      <c r="F147" s="209">
        <v>1</v>
      </c>
      <c r="G147" s="23"/>
      <c r="H147" s="25">
        <v>100</v>
      </c>
      <c r="I147" s="25">
        <v>1</v>
      </c>
      <c r="J147" s="209">
        <v>25</v>
      </c>
      <c r="K147" s="370">
        <v>4</v>
      </c>
      <c r="L147" s="211">
        <f t="shared" si="15"/>
        <v>29</v>
      </c>
      <c r="M147" s="427">
        <v>0.76</v>
      </c>
      <c r="N147" s="422">
        <f t="shared" si="17"/>
        <v>25.931199999999997</v>
      </c>
    </row>
    <row r="148" spans="1:14" ht="21.95" customHeight="1">
      <c r="A148" s="87"/>
      <c r="B148" s="87"/>
      <c r="C148" s="87">
        <v>30</v>
      </c>
      <c r="D148" s="101" t="s">
        <v>724</v>
      </c>
      <c r="E148" s="25">
        <v>187</v>
      </c>
      <c r="F148" s="209">
        <v>1.5</v>
      </c>
      <c r="G148" s="23"/>
      <c r="H148" s="25">
        <v>100</v>
      </c>
      <c r="I148" s="25">
        <v>1</v>
      </c>
      <c r="J148" s="209">
        <v>32.5</v>
      </c>
      <c r="K148" s="370">
        <v>5.5</v>
      </c>
      <c r="L148" s="211">
        <f t="shared" si="15"/>
        <v>38</v>
      </c>
      <c r="M148" s="422">
        <v>0.76</v>
      </c>
      <c r="N148" s="422">
        <f t="shared" si="17"/>
        <v>25.931199999999997</v>
      </c>
    </row>
    <row r="149" spans="1:14" ht="21.95" customHeight="1">
      <c r="A149" s="87"/>
      <c r="B149" s="87"/>
      <c r="C149" s="87">
        <v>31</v>
      </c>
      <c r="D149" s="101" t="s">
        <v>725</v>
      </c>
      <c r="E149" s="25">
        <v>99</v>
      </c>
      <c r="F149" s="209">
        <v>2</v>
      </c>
      <c r="G149" s="23"/>
      <c r="H149" s="25">
        <v>100</v>
      </c>
      <c r="I149" s="25">
        <v>1</v>
      </c>
      <c r="J149" s="209">
        <v>40</v>
      </c>
      <c r="K149" s="370">
        <v>7</v>
      </c>
      <c r="L149" s="211">
        <f t="shared" si="15"/>
        <v>47</v>
      </c>
      <c r="M149" s="422">
        <v>0.76</v>
      </c>
      <c r="N149" s="422">
        <f t="shared" si="17"/>
        <v>25.931199999999997</v>
      </c>
    </row>
    <row r="150" spans="1:14" ht="21.95" customHeight="1">
      <c r="A150" s="92"/>
      <c r="B150" s="92"/>
      <c r="C150" s="92">
        <v>32</v>
      </c>
      <c r="D150" s="290" t="s">
        <v>392</v>
      </c>
      <c r="E150" s="32">
        <v>85</v>
      </c>
      <c r="F150" s="210">
        <v>2</v>
      </c>
      <c r="G150" s="30"/>
      <c r="H150" s="32">
        <v>100</v>
      </c>
      <c r="I150" s="32">
        <v>1</v>
      </c>
      <c r="J150" s="210">
        <v>40</v>
      </c>
      <c r="K150" s="371">
        <v>7</v>
      </c>
      <c r="L150" s="360">
        <f t="shared" si="15"/>
        <v>47</v>
      </c>
      <c r="M150" s="423">
        <v>0.76</v>
      </c>
      <c r="N150" s="423">
        <f t="shared" si="17"/>
        <v>25.931199999999997</v>
      </c>
    </row>
    <row r="151" spans="1:14" s="353" customFormat="1" ht="21.95" customHeight="1">
      <c r="A151" s="64"/>
      <c r="B151" s="64" t="s">
        <v>759</v>
      </c>
      <c r="C151" s="64"/>
      <c r="D151" s="65" t="s">
        <v>850</v>
      </c>
      <c r="E151" s="36">
        <f>SUM(E115:E150)</f>
        <v>3710</v>
      </c>
      <c r="F151" s="37">
        <f>SUM(F115:F150)</f>
        <v>46.599999999999994</v>
      </c>
      <c r="G151" s="37"/>
      <c r="H151" s="36">
        <f>SUM(H115:H150)</f>
        <v>3700</v>
      </c>
      <c r="I151" s="36">
        <f>SUM(I115:I150)</f>
        <v>32</v>
      </c>
      <c r="J151" s="43">
        <f>SUM(J115:J150)</f>
        <v>1027</v>
      </c>
      <c r="K151" s="372">
        <f>SUM(K115:K150)</f>
        <v>171.8</v>
      </c>
      <c r="L151" s="37">
        <f>SUM(L115:L150)</f>
        <v>1198.8000000000002</v>
      </c>
      <c r="M151" s="425">
        <f t="shared" ref="M151:N151" si="18">SUM(M115:M150)</f>
        <v>25.000000000000011</v>
      </c>
      <c r="N151" s="425">
        <f t="shared" si="18"/>
        <v>852.99999999999989</v>
      </c>
    </row>
    <row r="152" spans="1:14" ht="23.25" customHeight="1">
      <c r="A152" s="766" t="s">
        <v>726</v>
      </c>
      <c r="B152" s="766"/>
      <c r="C152" s="766"/>
      <c r="D152" s="766"/>
      <c r="E152" s="766"/>
      <c r="F152" s="766"/>
      <c r="G152" s="766"/>
      <c r="H152" s="766"/>
      <c r="I152" s="766"/>
      <c r="J152" s="766"/>
      <c r="K152" s="766"/>
      <c r="L152" s="766"/>
    </row>
    <row r="153" spans="1:14" s="5" customFormat="1" ht="27.75" customHeight="1">
      <c r="A153" s="654" t="s">
        <v>1</v>
      </c>
      <c r="B153" s="632" t="s">
        <v>755</v>
      </c>
      <c r="C153" s="646" t="s">
        <v>21</v>
      </c>
      <c r="D153" s="647"/>
      <c r="E153" s="652" t="s">
        <v>756</v>
      </c>
      <c r="F153" s="654" t="s">
        <v>3</v>
      </c>
      <c r="G153" s="654"/>
      <c r="H153" s="654"/>
      <c r="I153" s="654"/>
      <c r="J153" s="654" t="s">
        <v>761</v>
      </c>
      <c r="K153" s="654"/>
      <c r="L153" s="654"/>
      <c r="M153" s="746" t="s">
        <v>752</v>
      </c>
      <c r="N153" s="747"/>
    </row>
    <row r="154" spans="1:14" s="5" customFormat="1" ht="40.5" customHeight="1">
      <c r="A154" s="654"/>
      <c r="B154" s="633"/>
      <c r="C154" s="648"/>
      <c r="D154" s="649"/>
      <c r="E154" s="652"/>
      <c r="F154" s="652" t="s">
        <v>757</v>
      </c>
      <c r="G154" s="652" t="s">
        <v>5</v>
      </c>
      <c r="H154" s="652" t="s">
        <v>6</v>
      </c>
      <c r="I154" s="652"/>
      <c r="J154" s="652" t="s">
        <v>22</v>
      </c>
      <c r="K154" s="652" t="s">
        <v>762</v>
      </c>
      <c r="L154" s="654" t="s">
        <v>8</v>
      </c>
      <c r="M154" s="748"/>
      <c r="N154" s="749"/>
    </row>
    <row r="155" spans="1:14" s="5" customFormat="1" ht="58.5" customHeight="1">
      <c r="A155" s="632"/>
      <c r="B155" s="634"/>
      <c r="C155" s="650"/>
      <c r="D155" s="651"/>
      <c r="E155" s="653"/>
      <c r="F155" s="653"/>
      <c r="G155" s="653"/>
      <c r="H155" s="381" t="s">
        <v>9</v>
      </c>
      <c r="I155" s="381" t="s">
        <v>10</v>
      </c>
      <c r="J155" s="653"/>
      <c r="K155" s="632"/>
      <c r="L155" s="632"/>
      <c r="M155" s="439" t="s">
        <v>753</v>
      </c>
      <c r="N155" s="440" t="s">
        <v>754</v>
      </c>
    </row>
    <row r="156" spans="1:14" ht="23.25" customHeight="1">
      <c r="A156" s="9"/>
      <c r="B156" s="373" t="s">
        <v>12</v>
      </c>
      <c r="C156" s="9">
        <v>1</v>
      </c>
      <c r="D156" s="349" t="s">
        <v>727</v>
      </c>
      <c r="E156" s="9">
        <v>108</v>
      </c>
      <c r="F156" s="350">
        <v>0.45</v>
      </c>
      <c r="G156" s="354"/>
      <c r="H156" s="9">
        <v>50</v>
      </c>
      <c r="I156" s="9">
        <v>1</v>
      </c>
      <c r="J156" s="350">
        <v>15.75</v>
      </c>
      <c r="K156" s="350">
        <v>2.35</v>
      </c>
      <c r="L156" s="350">
        <f>K156+J156</f>
        <v>18.100000000000001</v>
      </c>
      <c r="M156" s="458">
        <v>0.56999999999999995</v>
      </c>
      <c r="N156" s="458">
        <f>M156*34.12</f>
        <v>19.448399999999996</v>
      </c>
    </row>
    <row r="157" spans="1:14" ht="23.25" customHeight="1">
      <c r="A157" s="10"/>
      <c r="B157" s="374" t="s">
        <v>851</v>
      </c>
      <c r="C157" s="10">
        <v>2</v>
      </c>
      <c r="D157" s="351" t="s">
        <v>728</v>
      </c>
      <c r="E157" s="10">
        <v>90</v>
      </c>
      <c r="F157" s="286">
        <v>1</v>
      </c>
      <c r="G157" s="10"/>
      <c r="H157" s="10">
        <v>50</v>
      </c>
      <c r="I157" s="10">
        <v>1</v>
      </c>
      <c r="J157" s="286">
        <v>24</v>
      </c>
      <c r="K157" s="286">
        <v>4</v>
      </c>
      <c r="L157" s="286">
        <f t="shared" ref="L157:L166" si="19">K157+J157</f>
        <v>28</v>
      </c>
      <c r="M157" s="458">
        <v>0.56999999999999995</v>
      </c>
      <c r="N157" s="458">
        <f t="shared" ref="N157:N166" si="20">M157*34.12</f>
        <v>19.448399999999996</v>
      </c>
    </row>
    <row r="158" spans="1:14" ht="23.25" customHeight="1">
      <c r="A158" s="10"/>
      <c r="B158" s="10"/>
      <c r="C158" s="10">
        <v>3</v>
      </c>
      <c r="D158" s="351" t="s">
        <v>601</v>
      </c>
      <c r="E158" s="10">
        <v>68</v>
      </c>
      <c r="F158" s="286">
        <v>0.5</v>
      </c>
      <c r="G158" s="355"/>
      <c r="H158" s="10">
        <v>50</v>
      </c>
      <c r="I158" s="10">
        <v>1</v>
      </c>
      <c r="J158" s="286">
        <v>16.5</v>
      </c>
      <c r="K158" s="286">
        <v>2.5</v>
      </c>
      <c r="L158" s="286">
        <f t="shared" si="19"/>
        <v>19</v>
      </c>
      <c r="M158" s="458">
        <v>0.56999999999999995</v>
      </c>
      <c r="N158" s="458">
        <f t="shared" si="20"/>
        <v>19.448399999999996</v>
      </c>
    </row>
    <row r="159" spans="1:14" ht="23.25" customHeight="1">
      <c r="A159" s="10"/>
      <c r="B159" s="10"/>
      <c r="C159" s="10">
        <v>4</v>
      </c>
      <c r="D159" s="351" t="s">
        <v>729</v>
      </c>
      <c r="E159" s="10">
        <v>127</v>
      </c>
      <c r="F159" s="286">
        <v>1.4</v>
      </c>
      <c r="G159" s="355"/>
      <c r="H159" s="10">
        <v>100</v>
      </c>
      <c r="I159" s="10">
        <v>1</v>
      </c>
      <c r="J159" s="286">
        <v>31</v>
      </c>
      <c r="K159" s="286">
        <v>5.2</v>
      </c>
      <c r="L159" s="286">
        <f t="shared" si="19"/>
        <v>36.200000000000003</v>
      </c>
      <c r="M159" s="458">
        <v>0.76</v>
      </c>
      <c r="N159" s="458">
        <f t="shared" si="20"/>
        <v>25.931199999999997</v>
      </c>
    </row>
    <row r="160" spans="1:14" ht="23.25" customHeight="1">
      <c r="A160" s="10"/>
      <c r="B160" s="10"/>
      <c r="C160" s="10">
        <v>5</v>
      </c>
      <c r="D160" s="73" t="s">
        <v>730</v>
      </c>
      <c r="E160" s="10">
        <v>73</v>
      </c>
      <c r="F160" s="286">
        <v>1.3</v>
      </c>
      <c r="G160" s="355"/>
      <c r="H160" s="10">
        <v>50</v>
      </c>
      <c r="I160" s="10">
        <v>1</v>
      </c>
      <c r="J160" s="286">
        <v>28.5</v>
      </c>
      <c r="K160" s="286">
        <v>4.9000000000000004</v>
      </c>
      <c r="L160" s="286">
        <f t="shared" si="19"/>
        <v>33.4</v>
      </c>
      <c r="M160" s="458">
        <v>0.56999999999999995</v>
      </c>
      <c r="N160" s="458">
        <f t="shared" si="20"/>
        <v>19.448399999999996</v>
      </c>
    </row>
    <row r="161" spans="1:14" ht="23.25" customHeight="1">
      <c r="A161" s="10"/>
      <c r="B161" s="10"/>
      <c r="C161" s="10">
        <v>6</v>
      </c>
      <c r="D161" s="351" t="s">
        <v>731</v>
      </c>
      <c r="E161" s="10">
        <v>73</v>
      </c>
      <c r="F161" s="286">
        <v>0.4</v>
      </c>
      <c r="G161" s="355"/>
      <c r="H161" s="10">
        <v>50</v>
      </c>
      <c r="I161" s="10">
        <v>1</v>
      </c>
      <c r="J161" s="286">
        <v>15</v>
      </c>
      <c r="K161" s="286">
        <v>2.2000000000000002</v>
      </c>
      <c r="L161" s="286">
        <f t="shared" si="19"/>
        <v>17.2</v>
      </c>
      <c r="M161" s="458">
        <v>0.56999999999999995</v>
      </c>
      <c r="N161" s="458">
        <f t="shared" si="20"/>
        <v>19.448399999999996</v>
      </c>
    </row>
    <row r="162" spans="1:14" ht="23.25" customHeight="1">
      <c r="A162" s="10"/>
      <c r="B162" s="10"/>
      <c r="C162" s="10">
        <v>7</v>
      </c>
      <c r="D162" s="351" t="s">
        <v>732</v>
      </c>
      <c r="E162" s="10">
        <v>58</v>
      </c>
      <c r="F162" s="286">
        <v>0.6</v>
      </c>
      <c r="G162" s="355"/>
      <c r="H162" s="10">
        <v>50</v>
      </c>
      <c r="I162" s="10">
        <v>1</v>
      </c>
      <c r="J162" s="286">
        <v>18</v>
      </c>
      <c r="K162" s="286">
        <v>2.8</v>
      </c>
      <c r="L162" s="286">
        <f t="shared" si="19"/>
        <v>20.8</v>
      </c>
      <c r="M162" s="458">
        <v>0.56999999999999995</v>
      </c>
      <c r="N162" s="458">
        <f t="shared" si="20"/>
        <v>19.448399999999996</v>
      </c>
    </row>
    <row r="163" spans="1:14" ht="23.25" customHeight="1">
      <c r="A163" s="10"/>
      <c r="B163" s="10"/>
      <c r="C163" s="10">
        <v>8</v>
      </c>
      <c r="D163" s="351" t="s">
        <v>733</v>
      </c>
      <c r="E163" s="10">
        <v>66</v>
      </c>
      <c r="F163" s="286">
        <v>0.7</v>
      </c>
      <c r="G163" s="355"/>
      <c r="H163" s="10">
        <v>50</v>
      </c>
      <c r="I163" s="10">
        <v>1</v>
      </c>
      <c r="J163" s="286">
        <v>19.5</v>
      </c>
      <c r="K163" s="286">
        <v>3.1</v>
      </c>
      <c r="L163" s="286">
        <f t="shared" si="19"/>
        <v>22.6</v>
      </c>
      <c r="M163" s="459">
        <v>0.56999999999999995</v>
      </c>
      <c r="N163" s="458">
        <f t="shared" si="20"/>
        <v>19.448399999999996</v>
      </c>
    </row>
    <row r="164" spans="1:14" ht="23.25" customHeight="1">
      <c r="A164" s="10"/>
      <c r="B164" s="10"/>
      <c r="C164" s="10">
        <v>9</v>
      </c>
      <c r="D164" s="351" t="s">
        <v>254</v>
      </c>
      <c r="E164" s="10">
        <v>113</v>
      </c>
      <c r="F164" s="286">
        <v>1.4</v>
      </c>
      <c r="G164" s="355"/>
      <c r="H164" s="10">
        <v>100</v>
      </c>
      <c r="I164" s="10">
        <v>1</v>
      </c>
      <c r="J164" s="286">
        <v>31</v>
      </c>
      <c r="K164" s="286">
        <v>5.2</v>
      </c>
      <c r="L164" s="286">
        <f t="shared" si="19"/>
        <v>36.200000000000003</v>
      </c>
      <c r="M164" s="459">
        <v>0.76</v>
      </c>
      <c r="N164" s="458">
        <f t="shared" si="20"/>
        <v>25.931199999999997</v>
      </c>
    </row>
    <row r="165" spans="1:14" ht="23.25" customHeight="1">
      <c r="A165" s="10"/>
      <c r="B165" s="10"/>
      <c r="C165" s="10">
        <v>10</v>
      </c>
      <c r="D165" s="351" t="s">
        <v>734</v>
      </c>
      <c r="E165" s="10">
        <v>46</v>
      </c>
      <c r="F165" s="286">
        <v>0.7</v>
      </c>
      <c r="G165" s="355"/>
      <c r="H165" s="10">
        <v>50</v>
      </c>
      <c r="I165" s="10">
        <v>1</v>
      </c>
      <c r="J165" s="286">
        <v>19.5</v>
      </c>
      <c r="K165" s="286">
        <v>3.1</v>
      </c>
      <c r="L165" s="286">
        <f t="shared" si="19"/>
        <v>22.6</v>
      </c>
      <c r="M165" s="458">
        <v>0.56999999999999995</v>
      </c>
      <c r="N165" s="458">
        <f t="shared" si="20"/>
        <v>19.448399999999996</v>
      </c>
    </row>
    <row r="166" spans="1:14" ht="23.25" customHeight="1">
      <c r="A166" s="8"/>
      <c r="B166" s="8"/>
      <c r="C166" s="8">
        <v>11</v>
      </c>
      <c r="D166" s="352" t="s">
        <v>735</v>
      </c>
      <c r="E166" s="8">
        <v>46</v>
      </c>
      <c r="F166" s="275">
        <v>0.5</v>
      </c>
      <c r="G166" s="356"/>
      <c r="H166" s="8">
        <v>50</v>
      </c>
      <c r="I166" s="8">
        <v>1</v>
      </c>
      <c r="J166" s="275">
        <v>16.5</v>
      </c>
      <c r="K166" s="275">
        <v>2.5</v>
      </c>
      <c r="L166" s="275">
        <f t="shared" si="19"/>
        <v>19</v>
      </c>
      <c r="M166" s="458">
        <v>0.56999999999999995</v>
      </c>
      <c r="N166" s="458">
        <f t="shared" si="20"/>
        <v>19.448399999999996</v>
      </c>
    </row>
    <row r="167" spans="1:14" ht="24.75" customHeight="1">
      <c r="A167" s="64"/>
      <c r="B167" s="64" t="s">
        <v>759</v>
      </c>
      <c r="C167" s="64"/>
      <c r="D167" s="65" t="s">
        <v>830</v>
      </c>
      <c r="E167" s="36">
        <f>SUM(E156:E166)</f>
        <v>868</v>
      </c>
      <c r="F167" s="37">
        <f>SUM(F156:F166)</f>
        <v>8.9499999999999993</v>
      </c>
      <c r="G167" s="219"/>
      <c r="H167" s="36">
        <v>650</v>
      </c>
      <c r="I167" s="36">
        <f>SUM(I156:I166)</f>
        <v>11</v>
      </c>
      <c r="J167" s="37">
        <f>SUM(J156:J166)</f>
        <v>235.25</v>
      </c>
      <c r="K167" s="37">
        <f>SUM(K156:K166)</f>
        <v>37.850000000000009</v>
      </c>
      <c r="L167" s="37">
        <f>SUM(L156:L166)</f>
        <v>273.10000000000002</v>
      </c>
      <c r="M167" s="425">
        <f t="shared" ref="M167:N167" si="21">SUM(M156:M166)</f>
        <v>6.65</v>
      </c>
      <c r="N167" s="425">
        <f t="shared" si="21"/>
        <v>226.89799999999994</v>
      </c>
    </row>
    <row r="168" spans="1:14" ht="24.75" customHeight="1">
      <c r="A168" s="132"/>
      <c r="B168" s="132"/>
      <c r="C168" s="132"/>
      <c r="D168" s="132"/>
      <c r="E168" s="133"/>
      <c r="F168" s="134"/>
      <c r="G168" s="134"/>
      <c r="H168" s="133"/>
      <c r="I168" s="133"/>
      <c r="J168" s="348"/>
      <c r="K168" s="348"/>
      <c r="L168" s="348"/>
    </row>
    <row r="169" spans="1:14" ht="39.75" customHeight="1">
      <c r="A169" s="125"/>
      <c r="B169" s="125"/>
      <c r="C169" s="125"/>
      <c r="D169" s="125"/>
      <c r="E169" s="126"/>
      <c r="F169" s="129"/>
      <c r="G169" s="129"/>
      <c r="H169" s="126"/>
      <c r="I169" s="126"/>
      <c r="J169" s="127"/>
      <c r="K169" s="127"/>
      <c r="L169" s="127"/>
    </row>
    <row r="170" spans="1:14" ht="36.75" customHeight="1">
      <c r="A170" s="125"/>
      <c r="B170" s="125"/>
      <c r="C170" s="125"/>
      <c r="D170" s="125"/>
      <c r="E170" s="126"/>
      <c r="F170" s="129"/>
      <c r="G170" s="129"/>
      <c r="H170" s="126"/>
      <c r="I170" s="126"/>
      <c r="J170" s="127"/>
      <c r="K170" s="127"/>
      <c r="L170" s="127"/>
    </row>
    <row r="171" spans="1:14" ht="23.25" customHeight="1">
      <c r="A171" s="125"/>
      <c r="B171" s="125"/>
      <c r="C171" s="125"/>
      <c r="D171" s="125"/>
      <c r="E171" s="126"/>
      <c r="F171" s="129"/>
      <c r="G171" s="129"/>
      <c r="H171" s="126"/>
      <c r="I171" s="126"/>
      <c r="J171" s="127"/>
      <c r="K171" s="127"/>
      <c r="L171" s="127"/>
    </row>
    <row r="172" spans="1:14" ht="23.25" customHeight="1">
      <c r="A172" s="766" t="s">
        <v>736</v>
      </c>
      <c r="B172" s="766"/>
      <c r="C172" s="766"/>
      <c r="D172" s="766"/>
      <c r="E172" s="766"/>
      <c r="F172" s="766"/>
      <c r="G172" s="766"/>
      <c r="H172" s="766"/>
      <c r="I172" s="766"/>
      <c r="J172" s="766"/>
      <c r="K172" s="766"/>
      <c r="L172" s="766"/>
    </row>
    <row r="173" spans="1:14" s="5" customFormat="1" ht="27.75" customHeight="1">
      <c r="A173" s="654" t="s">
        <v>1</v>
      </c>
      <c r="B173" s="632" t="s">
        <v>755</v>
      </c>
      <c r="C173" s="646" t="s">
        <v>21</v>
      </c>
      <c r="D173" s="647"/>
      <c r="E173" s="652" t="s">
        <v>756</v>
      </c>
      <c r="F173" s="654" t="s">
        <v>3</v>
      </c>
      <c r="G173" s="654"/>
      <c r="H173" s="654"/>
      <c r="I173" s="654"/>
      <c r="J173" s="654" t="s">
        <v>761</v>
      </c>
      <c r="K173" s="654"/>
      <c r="L173" s="654"/>
      <c r="M173" s="746" t="s">
        <v>752</v>
      </c>
      <c r="N173" s="747"/>
    </row>
    <row r="174" spans="1:14" s="5" customFormat="1" ht="40.5" customHeight="1">
      <c r="A174" s="654"/>
      <c r="B174" s="633"/>
      <c r="C174" s="648"/>
      <c r="D174" s="649"/>
      <c r="E174" s="652"/>
      <c r="F174" s="652" t="s">
        <v>757</v>
      </c>
      <c r="G174" s="652" t="s">
        <v>5</v>
      </c>
      <c r="H174" s="652" t="s">
        <v>6</v>
      </c>
      <c r="I174" s="652"/>
      <c r="J174" s="652" t="s">
        <v>22</v>
      </c>
      <c r="K174" s="652" t="s">
        <v>762</v>
      </c>
      <c r="L174" s="654" t="s">
        <v>8</v>
      </c>
      <c r="M174" s="748"/>
      <c r="N174" s="749"/>
    </row>
    <row r="175" spans="1:14" s="5" customFormat="1" ht="58.5" customHeight="1">
      <c r="A175" s="632"/>
      <c r="B175" s="634"/>
      <c r="C175" s="650"/>
      <c r="D175" s="651"/>
      <c r="E175" s="653"/>
      <c r="F175" s="653"/>
      <c r="G175" s="653"/>
      <c r="H175" s="381" t="s">
        <v>9</v>
      </c>
      <c r="I175" s="381" t="s">
        <v>10</v>
      </c>
      <c r="J175" s="653"/>
      <c r="K175" s="632"/>
      <c r="L175" s="632"/>
      <c r="M175" s="439" t="s">
        <v>753</v>
      </c>
      <c r="N175" s="440" t="s">
        <v>754</v>
      </c>
    </row>
    <row r="176" spans="1:14" ht="23.25" customHeight="1">
      <c r="A176" s="10"/>
      <c r="B176" s="10"/>
      <c r="C176" s="10">
        <v>1</v>
      </c>
      <c r="D176" s="351" t="s">
        <v>737</v>
      </c>
      <c r="E176" s="10">
        <v>117</v>
      </c>
      <c r="F176" s="286">
        <v>0.7</v>
      </c>
      <c r="G176" s="355"/>
      <c r="H176" s="10">
        <v>100</v>
      </c>
      <c r="I176" s="10">
        <v>1</v>
      </c>
      <c r="J176" s="286">
        <v>20.5</v>
      </c>
      <c r="K176" s="286">
        <v>3.1</v>
      </c>
      <c r="L176" s="286">
        <f>K176+J176</f>
        <v>23.6</v>
      </c>
      <c r="M176" s="460">
        <v>0.76</v>
      </c>
      <c r="N176" s="461">
        <f>M176*34.12</f>
        <v>25.931199999999997</v>
      </c>
    </row>
    <row r="177" spans="1:14" ht="23.25" customHeight="1">
      <c r="A177" s="10"/>
      <c r="B177" s="10"/>
      <c r="C177" s="10">
        <v>2</v>
      </c>
      <c r="D177" s="351" t="s">
        <v>738</v>
      </c>
      <c r="E177" s="10">
        <v>120</v>
      </c>
      <c r="F177" s="286">
        <v>0.75</v>
      </c>
      <c r="G177" s="274"/>
      <c r="H177" s="10">
        <v>100</v>
      </c>
      <c r="I177" s="10">
        <v>1</v>
      </c>
      <c r="J177" s="286">
        <v>21.25</v>
      </c>
      <c r="K177" s="286">
        <v>3.25</v>
      </c>
      <c r="L177" s="286">
        <f t="shared" ref="L177:L201" si="22">K177+J177</f>
        <v>24.5</v>
      </c>
      <c r="M177" s="460">
        <v>1.76</v>
      </c>
      <c r="N177" s="461">
        <f t="shared" ref="N177:N191" si="23">M177*34.12</f>
        <v>60.051199999999994</v>
      </c>
    </row>
    <row r="178" spans="1:14" ht="23.25" customHeight="1">
      <c r="A178" s="10"/>
      <c r="B178" s="10"/>
      <c r="C178" s="10">
        <v>3</v>
      </c>
      <c r="D178" s="351" t="s">
        <v>739</v>
      </c>
      <c r="E178" s="10">
        <v>73</v>
      </c>
      <c r="F178" s="286">
        <v>0.5</v>
      </c>
      <c r="G178" s="274"/>
      <c r="H178" s="10">
        <v>50</v>
      </c>
      <c r="I178" s="10">
        <v>1</v>
      </c>
      <c r="J178" s="286">
        <v>16.5</v>
      </c>
      <c r="K178" s="286">
        <v>2.5</v>
      </c>
      <c r="L178" s="286">
        <f t="shared" si="22"/>
        <v>19</v>
      </c>
      <c r="M178" s="460">
        <v>2.76</v>
      </c>
      <c r="N178" s="461">
        <f t="shared" si="23"/>
        <v>94.171199999999985</v>
      </c>
    </row>
    <row r="179" spans="1:14" ht="23.25" customHeight="1">
      <c r="A179" s="10"/>
      <c r="B179" s="10"/>
      <c r="C179" s="10">
        <v>4</v>
      </c>
      <c r="D179" s="351" t="s">
        <v>740</v>
      </c>
      <c r="E179" s="10">
        <v>33</v>
      </c>
      <c r="F179" s="286">
        <v>0.22</v>
      </c>
      <c r="G179" s="274"/>
      <c r="H179" s="10">
        <v>50</v>
      </c>
      <c r="I179" s="10">
        <v>1</v>
      </c>
      <c r="J179" s="286">
        <v>12.3</v>
      </c>
      <c r="K179" s="286">
        <v>1.66</v>
      </c>
      <c r="L179" s="286">
        <f t="shared" si="22"/>
        <v>13.96</v>
      </c>
      <c r="M179" s="460">
        <v>3.76</v>
      </c>
      <c r="N179" s="461">
        <f t="shared" si="23"/>
        <v>128.29119999999998</v>
      </c>
    </row>
    <row r="180" spans="1:14" ht="23.25" customHeight="1">
      <c r="A180" s="10"/>
      <c r="B180" s="10"/>
      <c r="C180" s="10">
        <v>5</v>
      </c>
      <c r="D180" s="351" t="s">
        <v>169</v>
      </c>
      <c r="E180" s="10">
        <v>60</v>
      </c>
      <c r="F180" s="286">
        <v>0.23</v>
      </c>
      <c r="G180" s="274"/>
      <c r="H180" s="10">
        <v>50</v>
      </c>
      <c r="I180" s="10">
        <v>1</v>
      </c>
      <c r="J180" s="286">
        <v>12.45</v>
      </c>
      <c r="K180" s="286">
        <v>1.69</v>
      </c>
      <c r="L180" s="286">
        <f t="shared" si="22"/>
        <v>14.139999999999999</v>
      </c>
      <c r="M180" s="460">
        <v>4.76</v>
      </c>
      <c r="N180" s="461">
        <f t="shared" si="23"/>
        <v>162.41119999999998</v>
      </c>
    </row>
    <row r="181" spans="1:14" ht="23.25" customHeight="1">
      <c r="A181" s="10"/>
      <c r="B181" s="10"/>
      <c r="C181" s="10">
        <v>6</v>
      </c>
      <c r="D181" s="351" t="s">
        <v>741</v>
      </c>
      <c r="E181" s="10">
        <v>169</v>
      </c>
      <c r="F181" s="286">
        <v>1</v>
      </c>
      <c r="G181" s="10"/>
      <c r="H181" s="10">
        <v>100</v>
      </c>
      <c r="I181" s="10">
        <v>1</v>
      </c>
      <c r="J181" s="286">
        <v>25</v>
      </c>
      <c r="K181" s="286">
        <v>4</v>
      </c>
      <c r="L181" s="286">
        <f t="shared" si="22"/>
        <v>29</v>
      </c>
      <c r="M181" s="460">
        <v>5.76</v>
      </c>
      <c r="N181" s="461">
        <f t="shared" si="23"/>
        <v>196.53119999999998</v>
      </c>
    </row>
    <row r="182" spans="1:14" ht="23.25" customHeight="1">
      <c r="A182" s="10"/>
      <c r="B182" s="10"/>
      <c r="C182" s="10">
        <v>7</v>
      </c>
      <c r="D182" s="351" t="s">
        <v>742</v>
      </c>
      <c r="E182" s="10">
        <v>90</v>
      </c>
      <c r="F182" s="286">
        <v>1.75</v>
      </c>
      <c r="G182" s="274"/>
      <c r="H182" s="10">
        <v>100</v>
      </c>
      <c r="I182" s="10">
        <v>1</v>
      </c>
      <c r="J182" s="286">
        <v>36.25</v>
      </c>
      <c r="K182" s="286">
        <v>6.25</v>
      </c>
      <c r="L182" s="286">
        <f t="shared" si="22"/>
        <v>42.5</v>
      </c>
      <c r="M182" s="460">
        <v>6.76</v>
      </c>
      <c r="N182" s="461">
        <f t="shared" si="23"/>
        <v>230.65119999999999</v>
      </c>
    </row>
    <row r="183" spans="1:14" ht="23.25" customHeight="1">
      <c r="A183" s="10"/>
      <c r="B183" s="10"/>
      <c r="C183" s="10">
        <v>8</v>
      </c>
      <c r="D183" s="351" t="s">
        <v>230</v>
      </c>
      <c r="E183" s="10">
        <v>93</v>
      </c>
      <c r="F183" s="286">
        <v>0.22</v>
      </c>
      <c r="G183" s="274"/>
      <c r="H183" s="10">
        <v>100</v>
      </c>
      <c r="I183" s="10">
        <v>1</v>
      </c>
      <c r="J183" s="286">
        <v>13.3</v>
      </c>
      <c r="K183" s="286">
        <v>1.66</v>
      </c>
      <c r="L183" s="286">
        <f t="shared" si="22"/>
        <v>14.96</v>
      </c>
      <c r="M183" s="460">
        <v>7.76</v>
      </c>
      <c r="N183" s="461">
        <f t="shared" si="23"/>
        <v>264.77119999999996</v>
      </c>
    </row>
    <row r="184" spans="1:14" ht="23.25" customHeight="1">
      <c r="A184" s="10"/>
      <c r="B184" s="10"/>
      <c r="C184" s="10">
        <v>9</v>
      </c>
      <c r="D184" s="351" t="s">
        <v>452</v>
      </c>
      <c r="E184" s="10">
        <v>59</v>
      </c>
      <c r="F184" s="286">
        <v>0.7</v>
      </c>
      <c r="G184" s="355"/>
      <c r="H184" s="10">
        <v>50</v>
      </c>
      <c r="I184" s="10">
        <v>1</v>
      </c>
      <c r="J184" s="286">
        <v>19.5</v>
      </c>
      <c r="K184" s="286">
        <v>3.1</v>
      </c>
      <c r="L184" s="286">
        <f t="shared" si="22"/>
        <v>22.6</v>
      </c>
      <c r="M184" s="460">
        <v>8.76</v>
      </c>
      <c r="N184" s="461">
        <f t="shared" si="23"/>
        <v>298.89119999999997</v>
      </c>
    </row>
    <row r="185" spans="1:14" ht="23.25" customHeight="1">
      <c r="A185" s="10"/>
      <c r="B185" s="10"/>
      <c r="C185" s="10">
        <v>10</v>
      </c>
      <c r="D185" s="351" t="s">
        <v>743</v>
      </c>
      <c r="E185" s="10">
        <v>109</v>
      </c>
      <c r="F185" s="286">
        <v>2</v>
      </c>
      <c r="G185" s="10"/>
      <c r="H185" s="10">
        <v>100</v>
      </c>
      <c r="I185" s="10">
        <v>1</v>
      </c>
      <c r="J185" s="286">
        <v>40</v>
      </c>
      <c r="K185" s="286">
        <v>7</v>
      </c>
      <c r="L185" s="286">
        <f t="shared" si="22"/>
        <v>47</v>
      </c>
      <c r="M185" s="460">
        <v>9.76</v>
      </c>
      <c r="N185" s="461">
        <f t="shared" si="23"/>
        <v>333.01119999999997</v>
      </c>
    </row>
    <row r="186" spans="1:14" ht="23.25" customHeight="1">
      <c r="A186" s="10"/>
      <c r="B186" s="10"/>
      <c r="C186" s="10">
        <v>11</v>
      </c>
      <c r="D186" s="351" t="s">
        <v>216</v>
      </c>
      <c r="E186" s="10">
        <v>44</v>
      </c>
      <c r="F186" s="286">
        <v>0.3</v>
      </c>
      <c r="G186" s="355"/>
      <c r="H186" s="10">
        <v>50</v>
      </c>
      <c r="I186" s="10">
        <v>1</v>
      </c>
      <c r="J186" s="286">
        <v>13.5</v>
      </c>
      <c r="K186" s="286">
        <v>1.9</v>
      </c>
      <c r="L186" s="286">
        <f t="shared" si="22"/>
        <v>15.4</v>
      </c>
      <c r="M186" s="460">
        <v>10.76</v>
      </c>
      <c r="N186" s="461">
        <f t="shared" si="23"/>
        <v>367.13119999999998</v>
      </c>
    </row>
    <row r="187" spans="1:14" ht="23.25" customHeight="1">
      <c r="A187" s="10"/>
      <c r="B187" s="10"/>
      <c r="C187" s="10">
        <v>12</v>
      </c>
      <c r="D187" s="351" t="s">
        <v>744</v>
      </c>
      <c r="E187" s="10">
        <v>97</v>
      </c>
      <c r="F187" s="286">
        <v>0.3</v>
      </c>
      <c r="G187" s="355"/>
      <c r="H187" s="10">
        <v>100</v>
      </c>
      <c r="I187" s="10">
        <v>1</v>
      </c>
      <c r="J187" s="286">
        <v>14.5</v>
      </c>
      <c r="K187" s="286">
        <v>1.9</v>
      </c>
      <c r="L187" s="286">
        <f t="shared" si="22"/>
        <v>16.399999999999999</v>
      </c>
      <c r="M187" s="460">
        <v>11.76</v>
      </c>
      <c r="N187" s="461">
        <f t="shared" si="23"/>
        <v>401.25119999999998</v>
      </c>
    </row>
    <row r="188" spans="1:14" ht="23.25" customHeight="1">
      <c r="A188" s="10"/>
      <c r="B188" s="10"/>
      <c r="C188" s="10">
        <v>13</v>
      </c>
      <c r="D188" s="351" t="s">
        <v>745</v>
      </c>
      <c r="E188" s="10">
        <v>180</v>
      </c>
      <c r="F188" s="286">
        <v>1.2</v>
      </c>
      <c r="G188" s="355"/>
      <c r="H188" s="10">
        <v>100</v>
      </c>
      <c r="I188" s="10">
        <v>1</v>
      </c>
      <c r="J188" s="286">
        <v>28</v>
      </c>
      <c r="K188" s="286">
        <v>4.5999999999999996</v>
      </c>
      <c r="L188" s="286">
        <f t="shared" si="22"/>
        <v>32.6</v>
      </c>
      <c r="M188" s="460">
        <v>12.76</v>
      </c>
      <c r="N188" s="461">
        <f t="shared" si="23"/>
        <v>435.37119999999999</v>
      </c>
    </row>
    <row r="189" spans="1:14" ht="23.25" customHeight="1">
      <c r="A189" s="10"/>
      <c r="B189" s="10"/>
      <c r="C189" s="10">
        <v>14</v>
      </c>
      <c r="D189" s="351" t="s">
        <v>510</v>
      </c>
      <c r="E189" s="10">
        <v>41</v>
      </c>
      <c r="F189" s="286">
        <v>0.4</v>
      </c>
      <c r="G189" s="355"/>
      <c r="H189" s="10">
        <v>50</v>
      </c>
      <c r="I189" s="10">
        <v>1</v>
      </c>
      <c r="J189" s="286">
        <v>15</v>
      </c>
      <c r="K189" s="286">
        <v>2.2000000000000002</v>
      </c>
      <c r="L189" s="286">
        <f t="shared" si="22"/>
        <v>17.2</v>
      </c>
      <c r="M189" s="460">
        <v>13.76</v>
      </c>
      <c r="N189" s="461">
        <f t="shared" si="23"/>
        <v>469.49119999999994</v>
      </c>
    </row>
    <row r="190" spans="1:14" ht="23.25" customHeight="1">
      <c r="A190" s="10"/>
      <c r="B190" s="10"/>
      <c r="C190" s="10">
        <v>15</v>
      </c>
      <c r="D190" s="351" t="s">
        <v>746</v>
      </c>
      <c r="E190" s="10">
        <v>120</v>
      </c>
      <c r="F190" s="286">
        <v>2</v>
      </c>
      <c r="G190" s="10"/>
      <c r="H190" s="10">
        <v>100</v>
      </c>
      <c r="I190" s="10">
        <v>1</v>
      </c>
      <c r="J190" s="286">
        <v>40</v>
      </c>
      <c r="K190" s="286">
        <v>7</v>
      </c>
      <c r="L190" s="286">
        <f t="shared" si="22"/>
        <v>47</v>
      </c>
      <c r="M190" s="460">
        <v>14.76</v>
      </c>
      <c r="N190" s="461">
        <f t="shared" si="23"/>
        <v>503.61119999999994</v>
      </c>
    </row>
    <row r="191" spans="1:14" ht="19.5" customHeight="1">
      <c r="A191" s="8"/>
      <c r="B191" s="8"/>
      <c r="C191" s="10">
        <v>16</v>
      </c>
      <c r="D191" s="352" t="s">
        <v>747</v>
      </c>
      <c r="E191" s="8">
        <v>70</v>
      </c>
      <c r="F191" s="275">
        <v>2</v>
      </c>
      <c r="G191" s="8"/>
      <c r="H191" s="8">
        <v>50</v>
      </c>
      <c r="I191" s="8">
        <v>1</v>
      </c>
      <c r="J191" s="275">
        <v>39</v>
      </c>
      <c r="K191" s="275">
        <v>7</v>
      </c>
      <c r="L191" s="275">
        <f t="shared" si="22"/>
        <v>46</v>
      </c>
      <c r="M191" s="460">
        <v>15.76</v>
      </c>
      <c r="N191" s="461">
        <f t="shared" si="23"/>
        <v>537.73119999999994</v>
      </c>
    </row>
    <row r="192" spans="1:14" ht="24.75" customHeight="1">
      <c r="A192" s="126"/>
      <c r="B192" s="126"/>
      <c r="C192" s="126"/>
      <c r="E192" s="126"/>
      <c r="F192" s="126"/>
      <c r="G192" s="126"/>
      <c r="H192" s="126"/>
      <c r="I192" s="126"/>
      <c r="J192" s="127"/>
      <c r="K192" s="127"/>
      <c r="L192" s="127"/>
    </row>
    <row r="193" spans="1:14" ht="24.75" customHeight="1">
      <c r="A193" s="766" t="s">
        <v>736</v>
      </c>
      <c r="B193" s="766"/>
      <c r="C193" s="766"/>
      <c r="D193" s="766"/>
      <c r="E193" s="766"/>
      <c r="F193" s="766"/>
      <c r="G193" s="766"/>
      <c r="H193" s="766"/>
      <c r="I193" s="766"/>
      <c r="J193" s="766"/>
      <c r="K193" s="766"/>
      <c r="L193" s="766"/>
    </row>
    <row r="194" spans="1:14" s="5" customFormat="1" ht="27.75" customHeight="1">
      <c r="A194" s="654" t="s">
        <v>1</v>
      </c>
      <c r="B194" s="632" t="s">
        <v>755</v>
      </c>
      <c r="C194" s="646" t="s">
        <v>21</v>
      </c>
      <c r="D194" s="647"/>
      <c r="E194" s="652" t="s">
        <v>756</v>
      </c>
      <c r="F194" s="654" t="s">
        <v>3</v>
      </c>
      <c r="G194" s="654"/>
      <c r="H194" s="654"/>
      <c r="I194" s="654"/>
      <c r="J194" s="654" t="s">
        <v>761</v>
      </c>
      <c r="K194" s="654"/>
      <c r="L194" s="654"/>
      <c r="M194" s="746" t="s">
        <v>752</v>
      </c>
      <c r="N194" s="747"/>
    </row>
    <row r="195" spans="1:14" s="5" customFormat="1" ht="40.5" customHeight="1">
      <c r="A195" s="654"/>
      <c r="B195" s="633"/>
      <c r="C195" s="648"/>
      <c r="D195" s="649"/>
      <c r="E195" s="652"/>
      <c r="F195" s="652" t="s">
        <v>757</v>
      </c>
      <c r="G195" s="652" t="s">
        <v>5</v>
      </c>
      <c r="H195" s="652" t="s">
        <v>6</v>
      </c>
      <c r="I195" s="652"/>
      <c r="J195" s="652" t="s">
        <v>22</v>
      </c>
      <c r="K195" s="652" t="s">
        <v>762</v>
      </c>
      <c r="L195" s="654" t="s">
        <v>8</v>
      </c>
      <c r="M195" s="748"/>
      <c r="N195" s="749"/>
    </row>
    <row r="196" spans="1:14" s="5" customFormat="1" ht="58.5" customHeight="1">
      <c r="A196" s="632"/>
      <c r="B196" s="634"/>
      <c r="C196" s="650"/>
      <c r="D196" s="651"/>
      <c r="E196" s="653"/>
      <c r="F196" s="653"/>
      <c r="G196" s="653"/>
      <c r="H196" s="381" t="s">
        <v>9</v>
      </c>
      <c r="I196" s="381" t="s">
        <v>10</v>
      </c>
      <c r="J196" s="653"/>
      <c r="K196" s="632"/>
      <c r="L196" s="632"/>
      <c r="M196" s="439" t="s">
        <v>753</v>
      </c>
      <c r="N196" s="440" t="s">
        <v>754</v>
      </c>
    </row>
    <row r="197" spans="1:14" ht="24.75" customHeight="1">
      <c r="A197" s="10"/>
      <c r="B197" s="10"/>
      <c r="C197" s="10">
        <v>17</v>
      </c>
      <c r="D197" s="351" t="s">
        <v>162</v>
      </c>
      <c r="E197" s="10">
        <v>130</v>
      </c>
      <c r="F197" s="286">
        <v>2</v>
      </c>
      <c r="G197" s="10"/>
      <c r="H197" s="10">
        <v>100</v>
      </c>
      <c r="I197" s="10">
        <v>1</v>
      </c>
      <c r="J197" s="286">
        <v>40</v>
      </c>
      <c r="K197" s="286">
        <v>7</v>
      </c>
      <c r="L197" s="286">
        <f t="shared" si="22"/>
        <v>47</v>
      </c>
      <c r="M197" s="460">
        <v>15.76</v>
      </c>
      <c r="N197" s="461">
        <f t="shared" ref="N197:N201" si="24">M197*34.12</f>
        <v>537.73119999999994</v>
      </c>
    </row>
    <row r="198" spans="1:14" ht="24.75" customHeight="1">
      <c r="A198" s="10"/>
      <c r="B198" s="10"/>
      <c r="C198" s="10">
        <v>18</v>
      </c>
      <c r="D198" s="351" t="s">
        <v>748</v>
      </c>
      <c r="E198" s="10">
        <v>11</v>
      </c>
      <c r="F198" s="286">
        <v>2</v>
      </c>
      <c r="G198" s="10"/>
      <c r="H198" s="10">
        <v>50</v>
      </c>
      <c r="I198" s="10">
        <v>1</v>
      </c>
      <c r="J198" s="286">
        <v>39</v>
      </c>
      <c r="K198" s="286">
        <v>7</v>
      </c>
      <c r="L198" s="286">
        <f t="shared" si="22"/>
        <v>46</v>
      </c>
      <c r="M198" s="460">
        <v>16.760000000000002</v>
      </c>
      <c r="N198" s="461">
        <f t="shared" si="24"/>
        <v>571.85120000000006</v>
      </c>
    </row>
    <row r="199" spans="1:14" ht="24.75" customHeight="1">
      <c r="A199" s="10"/>
      <c r="B199" s="10"/>
      <c r="C199" s="10">
        <v>19</v>
      </c>
      <c r="D199" s="351" t="s">
        <v>749</v>
      </c>
      <c r="E199" s="10">
        <v>50</v>
      </c>
      <c r="F199" s="286">
        <v>1.25</v>
      </c>
      <c r="G199" s="274"/>
      <c r="H199" s="10">
        <v>50</v>
      </c>
      <c r="I199" s="10">
        <v>1</v>
      </c>
      <c r="J199" s="286">
        <v>27.75</v>
      </c>
      <c r="K199" s="286">
        <v>4.75</v>
      </c>
      <c r="L199" s="286">
        <f t="shared" si="22"/>
        <v>32.5</v>
      </c>
      <c r="M199" s="460">
        <v>17.760000000000002</v>
      </c>
      <c r="N199" s="461">
        <f t="shared" si="24"/>
        <v>605.97119999999995</v>
      </c>
    </row>
    <row r="200" spans="1:14" ht="24.75" customHeight="1">
      <c r="A200" s="10"/>
      <c r="B200" s="10"/>
      <c r="C200" s="10">
        <v>20</v>
      </c>
      <c r="D200" s="351" t="s">
        <v>750</v>
      </c>
      <c r="E200" s="10">
        <v>195</v>
      </c>
      <c r="F200" s="286">
        <v>2</v>
      </c>
      <c r="G200" s="10"/>
      <c r="H200" s="10">
        <v>200</v>
      </c>
      <c r="I200" s="10">
        <v>1</v>
      </c>
      <c r="J200" s="286">
        <v>41.5</v>
      </c>
      <c r="K200" s="286">
        <v>7</v>
      </c>
      <c r="L200" s="286">
        <f t="shared" si="22"/>
        <v>48.5</v>
      </c>
      <c r="M200" s="460">
        <v>18.760000000000002</v>
      </c>
      <c r="N200" s="461">
        <f t="shared" si="24"/>
        <v>640.09119999999996</v>
      </c>
    </row>
    <row r="201" spans="1:14" ht="24.75" customHeight="1">
      <c r="A201" s="8"/>
      <c r="B201" s="8"/>
      <c r="C201" s="8">
        <v>21</v>
      </c>
      <c r="D201" s="352" t="s">
        <v>751</v>
      </c>
      <c r="E201" s="8">
        <v>70</v>
      </c>
      <c r="F201" s="275">
        <v>0.5</v>
      </c>
      <c r="G201" s="356"/>
      <c r="H201" s="8">
        <v>50</v>
      </c>
      <c r="I201" s="8">
        <v>1</v>
      </c>
      <c r="J201" s="275">
        <v>16.5</v>
      </c>
      <c r="K201" s="275">
        <v>2.5</v>
      </c>
      <c r="L201" s="286">
        <f t="shared" si="22"/>
        <v>19</v>
      </c>
      <c r="M201" s="460">
        <v>19.760000000000002</v>
      </c>
      <c r="N201" s="461">
        <f t="shared" si="24"/>
        <v>674.21119999999996</v>
      </c>
    </row>
    <row r="202" spans="1:14" ht="24.75" customHeight="1">
      <c r="A202" s="64"/>
      <c r="B202" s="64" t="s">
        <v>759</v>
      </c>
      <c r="C202" s="64"/>
      <c r="D202" s="65" t="s">
        <v>852</v>
      </c>
      <c r="E202" s="36">
        <f>SUM(E176:E201)</f>
        <v>1931</v>
      </c>
      <c r="F202" s="37">
        <f>SUM(F176:F201)</f>
        <v>22.020000000000003</v>
      </c>
      <c r="G202" s="219"/>
      <c r="H202" s="36">
        <v>1700</v>
      </c>
      <c r="I202" s="36">
        <f>SUM(I176:I201)</f>
        <v>21</v>
      </c>
      <c r="J202" s="37">
        <f>SUM(J176:J201)</f>
        <v>531.79999999999995</v>
      </c>
      <c r="K202" s="37">
        <f>SUM(K176:K201)</f>
        <v>87.06</v>
      </c>
      <c r="L202" s="37">
        <f>SUM(L176:L201)</f>
        <v>618.8599999999999</v>
      </c>
      <c r="M202" s="462">
        <f t="shared" ref="M202:N202" si="25">SUM(M176:M201)</f>
        <v>220.95999999999995</v>
      </c>
      <c r="N202" s="462">
        <f t="shared" si="25"/>
        <v>7539.1551999999992</v>
      </c>
    </row>
    <row r="203" spans="1:14" ht="24.75" customHeight="1">
      <c r="A203" s="64"/>
      <c r="B203" s="64" t="s">
        <v>759</v>
      </c>
      <c r="C203" s="64"/>
      <c r="D203" s="65" t="s">
        <v>850</v>
      </c>
      <c r="E203" s="36">
        <f>E202+E167</f>
        <v>2799</v>
      </c>
      <c r="F203" s="37">
        <f>F202+F167</f>
        <v>30.970000000000002</v>
      </c>
      <c r="G203" s="219"/>
      <c r="H203" s="36">
        <f>H202+H167</f>
        <v>2350</v>
      </c>
      <c r="I203" s="36">
        <f>I202+I167</f>
        <v>32</v>
      </c>
      <c r="J203" s="37">
        <f>J202+J167</f>
        <v>767.05</v>
      </c>
      <c r="K203" s="37">
        <f>K202+K167</f>
        <v>124.91000000000001</v>
      </c>
      <c r="L203" s="37">
        <f>L202+L167</f>
        <v>891.95999999999992</v>
      </c>
      <c r="M203" s="462">
        <f t="shared" ref="M203:N203" si="26">M202+M167</f>
        <v>227.60999999999996</v>
      </c>
      <c r="N203" s="462">
        <f t="shared" si="26"/>
        <v>7766.0531999999994</v>
      </c>
    </row>
    <row r="204" spans="1:14" ht="24.75" customHeight="1"/>
    <row r="205" spans="1:14" ht="24.75" customHeight="1"/>
    <row r="206" spans="1:14" ht="24.75" customHeight="1"/>
    <row r="207" spans="1:14" ht="24.75" customHeight="1"/>
    <row r="208" spans="1:14" ht="24.75" customHeight="1"/>
    <row r="209" ht="24.75" customHeight="1"/>
    <row r="210" ht="24.75" customHeight="1"/>
    <row r="211" ht="24.75" customHeight="1"/>
    <row r="212" ht="31.5" customHeight="1"/>
    <row r="213" ht="21.75" customHeight="1"/>
    <row r="214" ht="24.75" customHeight="1"/>
    <row r="215" ht="24.75" customHeight="1"/>
    <row r="216" ht="39.75" customHeight="1"/>
  </sheetData>
  <mergeCells count="179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K3:K4"/>
    <mergeCell ref="L3:L4"/>
    <mergeCell ref="F19:F20"/>
    <mergeCell ref="G19:G20"/>
    <mergeCell ref="H19:H20"/>
    <mergeCell ref="I19:I20"/>
    <mergeCell ref="J19:J20"/>
    <mergeCell ref="K19:K20"/>
    <mergeCell ref="L19:L20"/>
    <mergeCell ref="K26:K27"/>
    <mergeCell ref="L26:L27"/>
    <mergeCell ref="A48:L48"/>
    <mergeCell ref="A49:A51"/>
    <mergeCell ref="E49:E51"/>
    <mergeCell ref="F49:I49"/>
    <mergeCell ref="J49:L49"/>
    <mergeCell ref="F50:F51"/>
    <mergeCell ref="A24:L24"/>
    <mergeCell ref="A25:A27"/>
    <mergeCell ref="E25:E27"/>
    <mergeCell ref="F25:I25"/>
    <mergeCell ref="J25:L25"/>
    <mergeCell ref="F26:F27"/>
    <mergeCell ref="G26:G27"/>
    <mergeCell ref="H26:I26"/>
    <mergeCell ref="J26:J27"/>
    <mergeCell ref="G50:G51"/>
    <mergeCell ref="H50:I50"/>
    <mergeCell ref="J50:J51"/>
    <mergeCell ref="K50:K51"/>
    <mergeCell ref="L50:L51"/>
    <mergeCell ref="F61:F62"/>
    <mergeCell ref="H61:H62"/>
    <mergeCell ref="I61:I62"/>
    <mergeCell ref="J61:J62"/>
    <mergeCell ref="K61:K62"/>
    <mergeCell ref="J73:J74"/>
    <mergeCell ref="K73:K74"/>
    <mergeCell ref="L73:L74"/>
    <mergeCell ref="H83:H84"/>
    <mergeCell ref="I83:I84"/>
    <mergeCell ref="J83:J84"/>
    <mergeCell ref="K83:K84"/>
    <mergeCell ref="L83:L84"/>
    <mergeCell ref="L61:L62"/>
    <mergeCell ref="A71:L71"/>
    <mergeCell ref="A72:A74"/>
    <mergeCell ref="E72:E74"/>
    <mergeCell ref="F72:I72"/>
    <mergeCell ref="J72:L72"/>
    <mergeCell ref="F73:F74"/>
    <mergeCell ref="G73:G74"/>
    <mergeCell ref="H73:I73"/>
    <mergeCell ref="L98:L99"/>
    <mergeCell ref="A91:L91"/>
    <mergeCell ref="A92:A94"/>
    <mergeCell ref="E92:E94"/>
    <mergeCell ref="F92:I92"/>
    <mergeCell ref="J92:L92"/>
    <mergeCell ref="F93:F94"/>
    <mergeCell ref="G93:G94"/>
    <mergeCell ref="H93:I93"/>
    <mergeCell ref="F134:F135"/>
    <mergeCell ref="G134:G135"/>
    <mergeCell ref="H134:I134"/>
    <mergeCell ref="J134:J135"/>
    <mergeCell ref="K134:K135"/>
    <mergeCell ref="L134:L135"/>
    <mergeCell ref="H113:I113"/>
    <mergeCell ref="J113:J114"/>
    <mergeCell ref="K113:K114"/>
    <mergeCell ref="L113:L114"/>
    <mergeCell ref="A132:L132"/>
    <mergeCell ref="A133:A135"/>
    <mergeCell ref="E133:E135"/>
    <mergeCell ref="F133:I133"/>
    <mergeCell ref="J133:L133"/>
    <mergeCell ref="A112:A114"/>
    <mergeCell ref="E112:E114"/>
    <mergeCell ref="F112:I112"/>
    <mergeCell ref="J112:L112"/>
    <mergeCell ref="F113:F114"/>
    <mergeCell ref="G113:G114"/>
    <mergeCell ref="K154:K155"/>
    <mergeCell ref="L154:L155"/>
    <mergeCell ref="A172:L172"/>
    <mergeCell ref="A173:A175"/>
    <mergeCell ref="E173:E175"/>
    <mergeCell ref="F173:I173"/>
    <mergeCell ref="J173:L173"/>
    <mergeCell ref="A152:L152"/>
    <mergeCell ref="A153:A155"/>
    <mergeCell ref="E153:E155"/>
    <mergeCell ref="F153:I153"/>
    <mergeCell ref="J153:L153"/>
    <mergeCell ref="F154:F155"/>
    <mergeCell ref="G154:G155"/>
    <mergeCell ref="H154:I154"/>
    <mergeCell ref="K195:K196"/>
    <mergeCell ref="L195:L196"/>
    <mergeCell ref="B2:B4"/>
    <mergeCell ref="C2:D4"/>
    <mergeCell ref="B72:B74"/>
    <mergeCell ref="C72:D74"/>
    <mergeCell ref="B133:B135"/>
    <mergeCell ref="C133:D135"/>
    <mergeCell ref="A193:L193"/>
    <mergeCell ref="A194:A196"/>
    <mergeCell ref="E194:E196"/>
    <mergeCell ref="F194:I194"/>
    <mergeCell ref="J194:L194"/>
    <mergeCell ref="F195:F196"/>
    <mergeCell ref="G195:G196"/>
    <mergeCell ref="H195:I195"/>
    <mergeCell ref="J195:J196"/>
    <mergeCell ref="F174:F175"/>
    <mergeCell ref="G174:G175"/>
    <mergeCell ref="H174:I174"/>
    <mergeCell ref="J174:J175"/>
    <mergeCell ref="K174:K175"/>
    <mergeCell ref="L174:L175"/>
    <mergeCell ref="J154:J155"/>
    <mergeCell ref="M112:N113"/>
    <mergeCell ref="M2:N3"/>
    <mergeCell ref="B25:B27"/>
    <mergeCell ref="C25:D27"/>
    <mergeCell ref="M25:N26"/>
    <mergeCell ref="B49:B51"/>
    <mergeCell ref="C49:D51"/>
    <mergeCell ref="M49:N50"/>
    <mergeCell ref="M19:M20"/>
    <mergeCell ref="N19:N20"/>
    <mergeCell ref="A111:L111"/>
    <mergeCell ref="F102:F103"/>
    <mergeCell ref="H102:H103"/>
    <mergeCell ref="I102:I103"/>
    <mergeCell ref="J102:J103"/>
    <mergeCell ref="K102:K103"/>
    <mergeCell ref="L102:L103"/>
    <mergeCell ref="J93:J94"/>
    <mergeCell ref="K93:K94"/>
    <mergeCell ref="L93:L94"/>
    <mergeCell ref="H98:H99"/>
    <mergeCell ref="I98:I99"/>
    <mergeCell ref="J98:J99"/>
    <mergeCell ref="K98:K99"/>
    <mergeCell ref="B194:B196"/>
    <mergeCell ref="C194:D196"/>
    <mergeCell ref="M194:N195"/>
    <mergeCell ref="M61:M62"/>
    <mergeCell ref="N61:N62"/>
    <mergeCell ref="M83:M84"/>
    <mergeCell ref="N83:N84"/>
    <mergeCell ref="M102:M103"/>
    <mergeCell ref="N102:N103"/>
    <mergeCell ref="M98:M99"/>
    <mergeCell ref="N98:N99"/>
    <mergeCell ref="M133:N134"/>
    <mergeCell ref="B153:B155"/>
    <mergeCell ref="C153:D155"/>
    <mergeCell ref="M153:N154"/>
    <mergeCell ref="B173:B175"/>
    <mergeCell ref="C173:D175"/>
    <mergeCell ref="M173:N174"/>
    <mergeCell ref="M72:N73"/>
    <mergeCell ref="B92:B94"/>
    <mergeCell ref="C92:D94"/>
    <mergeCell ref="M92:N93"/>
    <mergeCell ref="B112:B114"/>
    <mergeCell ref="C112:D114"/>
  </mergeCells>
  <pageMargins left="0.25" right="0" top="0.25" bottom="0" header="0" footer="0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400"/>
  <sheetViews>
    <sheetView zoomScale="85" zoomScaleNormal="85" workbookViewId="0">
      <selection activeCell="F9" sqref="F9"/>
    </sheetView>
  </sheetViews>
  <sheetFormatPr defaultRowHeight="18.95" customHeight="1"/>
  <cols>
    <col min="1" max="1" width="4.5703125" style="506" customWidth="1"/>
    <col min="2" max="2" width="49.85546875" style="506" customWidth="1"/>
    <col min="3" max="3" width="5.28515625" style="506" customWidth="1"/>
    <col min="4" max="4" width="7.7109375" style="506" customWidth="1"/>
    <col min="5" max="6" width="13.42578125" style="527" customWidth="1"/>
    <col min="7" max="16384" width="9.140625" style="506"/>
  </cols>
  <sheetData>
    <row r="1" spans="1:6" ht="34.5" customHeight="1">
      <c r="A1" s="770" t="s">
        <v>927</v>
      </c>
      <c r="B1" s="770"/>
      <c r="C1" s="770"/>
      <c r="D1" s="770"/>
      <c r="E1" s="770"/>
      <c r="F1" s="770"/>
    </row>
    <row r="2" spans="1:6" s="529" customFormat="1" ht="40.5" customHeight="1">
      <c r="A2" s="512" t="s">
        <v>928</v>
      </c>
      <c r="B2" s="512" t="s">
        <v>985</v>
      </c>
      <c r="C2" s="512" t="s">
        <v>930</v>
      </c>
      <c r="D2" s="512" t="s">
        <v>986</v>
      </c>
      <c r="E2" s="528" t="s">
        <v>987</v>
      </c>
      <c r="F2" s="518" t="s">
        <v>931</v>
      </c>
    </row>
    <row r="3" spans="1:6" s="529" customFormat="1" ht="13.5" customHeight="1">
      <c r="A3" s="509"/>
      <c r="B3" s="509"/>
      <c r="C3" s="509"/>
      <c r="D3" s="509"/>
      <c r="E3" s="530"/>
      <c r="F3" s="519"/>
    </row>
    <row r="4" spans="1:6" ht="19.5">
      <c r="A4" s="496">
        <v>1</v>
      </c>
      <c r="B4" s="507" t="s">
        <v>932</v>
      </c>
      <c r="C4" s="496" t="s">
        <v>933</v>
      </c>
      <c r="D4" s="496">
        <f>32+8+2</f>
        <v>42</v>
      </c>
      <c r="E4" s="520">
        <v>759.4</v>
      </c>
      <c r="F4" s="521">
        <f>D4*E4</f>
        <v>31894.799999999999</v>
      </c>
    </row>
    <row r="5" spans="1:6" ht="19.5">
      <c r="A5" s="496"/>
      <c r="B5" s="497" t="s">
        <v>934</v>
      </c>
      <c r="C5" s="496"/>
      <c r="D5" s="496"/>
      <c r="E5" s="521"/>
      <c r="F5" s="521"/>
    </row>
    <row r="6" spans="1:6" ht="19.5">
      <c r="A6" s="496"/>
      <c r="B6" s="497" t="s">
        <v>935</v>
      </c>
      <c r="C6" s="496"/>
      <c r="D6" s="496"/>
      <c r="E6" s="521"/>
      <c r="F6" s="521"/>
    </row>
    <row r="7" spans="1:6" ht="19.5">
      <c r="A7" s="496"/>
      <c r="B7" s="497" t="s">
        <v>936</v>
      </c>
      <c r="C7" s="496"/>
      <c r="D7" s="496"/>
      <c r="E7" s="521"/>
      <c r="F7" s="521"/>
    </row>
    <row r="8" spans="1:6" ht="19.5">
      <c r="A8" s="496"/>
      <c r="B8" s="497" t="s">
        <v>937</v>
      </c>
      <c r="C8" s="496"/>
      <c r="D8" s="496"/>
      <c r="E8" s="521"/>
      <c r="F8" s="521"/>
    </row>
    <row r="9" spans="1:6" ht="19.5">
      <c r="A9" s="496">
        <v>2</v>
      </c>
      <c r="B9" s="507" t="s">
        <v>938</v>
      </c>
      <c r="C9" s="496" t="s">
        <v>933</v>
      </c>
      <c r="D9" s="496">
        <f>42*6.5/20</f>
        <v>13.65</v>
      </c>
      <c r="E9" s="520">
        <v>759.4</v>
      </c>
      <c r="F9" s="524">
        <f>D9*E9</f>
        <v>10365.81</v>
      </c>
    </row>
    <row r="10" spans="1:6" ht="19.5">
      <c r="A10" s="496"/>
      <c r="B10" s="507" t="s">
        <v>940</v>
      </c>
      <c r="C10" s="496"/>
      <c r="D10" s="496"/>
      <c r="E10" s="521"/>
      <c r="F10" s="521"/>
    </row>
    <row r="11" spans="1:6" ht="19.5">
      <c r="A11" s="496"/>
      <c r="B11" s="522" t="s">
        <v>939</v>
      </c>
      <c r="C11" s="496"/>
      <c r="D11" s="496"/>
      <c r="E11" s="521"/>
      <c r="F11" s="521"/>
    </row>
    <row r="12" spans="1:6" ht="19.5">
      <c r="A12" s="496"/>
      <c r="B12" s="522" t="s">
        <v>941</v>
      </c>
      <c r="C12" s="496"/>
      <c r="D12" s="496"/>
      <c r="E12" s="521"/>
      <c r="F12" s="521"/>
    </row>
    <row r="13" spans="1:6" ht="19.5">
      <c r="A13" s="496"/>
      <c r="B13" s="507" t="s">
        <v>942</v>
      </c>
      <c r="C13" s="496"/>
      <c r="D13" s="496"/>
      <c r="E13" s="521"/>
      <c r="F13" s="521"/>
    </row>
    <row r="14" spans="1:6" ht="19.5">
      <c r="A14" s="496"/>
      <c r="B14" s="507" t="s">
        <v>943</v>
      </c>
      <c r="C14" s="496"/>
      <c r="D14" s="496"/>
      <c r="E14" s="521"/>
      <c r="F14" s="521"/>
    </row>
    <row r="15" spans="1:6" ht="19.5">
      <c r="A15" s="496"/>
      <c r="B15" s="497" t="s">
        <v>944</v>
      </c>
      <c r="C15" s="496"/>
      <c r="D15" s="496"/>
      <c r="E15" s="521"/>
      <c r="F15" s="521"/>
    </row>
    <row r="16" spans="1:6" ht="19.5">
      <c r="A16" s="496"/>
      <c r="B16" s="497">
        <f>42*6.5/20</f>
        <v>13.65</v>
      </c>
      <c r="C16" s="496"/>
      <c r="D16" s="496"/>
      <c r="E16" s="521"/>
      <c r="F16" s="521"/>
    </row>
    <row r="17" spans="1:6" ht="19.5">
      <c r="A17" s="496"/>
      <c r="B17" s="497" t="s">
        <v>945</v>
      </c>
      <c r="C17" s="496"/>
      <c r="D17" s="496"/>
      <c r="E17" s="521"/>
      <c r="F17" s="521"/>
    </row>
    <row r="18" spans="1:6" ht="19.5">
      <c r="A18" s="496">
        <v>3</v>
      </c>
      <c r="B18" s="507" t="s">
        <v>946</v>
      </c>
      <c r="C18" s="496" t="s">
        <v>933</v>
      </c>
      <c r="D18" s="496">
        <v>17.100000000000001</v>
      </c>
      <c r="E18" s="520">
        <v>759.4</v>
      </c>
      <c r="F18" s="521">
        <f>D18*E18</f>
        <v>12985.74</v>
      </c>
    </row>
    <row r="19" spans="1:6" ht="19.5">
      <c r="A19" s="496"/>
      <c r="B19" s="507" t="s">
        <v>948</v>
      </c>
      <c r="C19" s="496"/>
      <c r="D19" s="496"/>
      <c r="E19" s="521"/>
      <c r="F19" s="521"/>
    </row>
    <row r="20" spans="1:6" ht="19.5">
      <c r="A20" s="496"/>
      <c r="B20" s="507" t="s">
        <v>947</v>
      </c>
      <c r="C20" s="496"/>
      <c r="D20" s="496"/>
      <c r="E20" s="521"/>
      <c r="F20" s="521"/>
    </row>
    <row r="21" spans="1:6" ht="19.5">
      <c r="A21" s="496"/>
      <c r="B21" s="507" t="s">
        <v>949</v>
      </c>
      <c r="C21" s="496"/>
      <c r="D21" s="496"/>
      <c r="E21" s="521"/>
      <c r="F21" s="521"/>
    </row>
    <row r="22" spans="1:6" ht="19.5">
      <c r="A22" s="496"/>
      <c r="B22" s="507" t="s">
        <v>950</v>
      </c>
      <c r="C22" s="496"/>
      <c r="D22" s="496"/>
      <c r="E22" s="521"/>
      <c r="F22" s="521"/>
    </row>
    <row r="23" spans="1:6" ht="19.5">
      <c r="A23" s="496"/>
      <c r="B23" s="497" t="s">
        <v>951</v>
      </c>
      <c r="C23" s="496"/>
      <c r="D23" s="496"/>
      <c r="E23" s="521"/>
      <c r="F23" s="521"/>
    </row>
    <row r="24" spans="1:6" ht="19.5">
      <c r="A24" s="496"/>
      <c r="B24" s="497" t="s">
        <v>952</v>
      </c>
      <c r="C24" s="496"/>
      <c r="D24" s="496"/>
      <c r="E24" s="521"/>
      <c r="F24" s="521"/>
    </row>
    <row r="25" spans="1:6" ht="19.5">
      <c r="A25" s="496"/>
      <c r="B25" s="507" t="s">
        <v>953</v>
      </c>
      <c r="C25" s="496"/>
      <c r="D25" s="496"/>
      <c r="E25" s="521"/>
      <c r="F25" s="521"/>
    </row>
    <row r="26" spans="1:6" ht="19.5">
      <c r="A26" s="496"/>
      <c r="B26" s="523" t="s">
        <v>954</v>
      </c>
      <c r="C26" s="496"/>
      <c r="D26" s="496"/>
      <c r="E26" s="524">
        <f>9.6+8</f>
        <v>17.600000000000001</v>
      </c>
      <c r="F26" s="521">
        <f>D26*E26</f>
        <v>0</v>
      </c>
    </row>
    <row r="27" spans="1:6" ht="19.5">
      <c r="A27" s="496"/>
      <c r="B27" s="507" t="s">
        <v>955</v>
      </c>
      <c r="C27" s="496"/>
      <c r="D27" s="496"/>
      <c r="E27" s="521"/>
      <c r="F27" s="521"/>
    </row>
    <row r="28" spans="1:6" ht="19.5">
      <c r="A28" s="496"/>
      <c r="B28" s="497" t="s">
        <v>956</v>
      </c>
      <c r="C28" s="496"/>
      <c r="D28" s="496"/>
      <c r="E28" s="521"/>
      <c r="F28" s="521"/>
    </row>
    <row r="29" spans="1:6" ht="19.5">
      <c r="A29" s="496"/>
      <c r="B29" s="497" t="s">
        <v>957</v>
      </c>
      <c r="C29" s="496"/>
      <c r="D29" s="496"/>
      <c r="E29" s="521"/>
      <c r="F29" s="521"/>
    </row>
    <row r="30" spans="1:6" ht="19.5">
      <c r="A30" s="496"/>
      <c r="B30" s="510" t="s">
        <v>958</v>
      </c>
      <c r="C30" s="496"/>
      <c r="D30" s="496"/>
      <c r="E30" s="521"/>
      <c r="F30" s="521"/>
    </row>
    <row r="31" spans="1:6" ht="19.5">
      <c r="A31" s="496">
        <v>4</v>
      </c>
      <c r="B31" s="507" t="s">
        <v>959</v>
      </c>
      <c r="C31" s="496" t="s">
        <v>960</v>
      </c>
      <c r="D31" s="496">
        <f>96+12+3</f>
        <v>111</v>
      </c>
      <c r="E31" s="520">
        <v>759.4</v>
      </c>
      <c r="F31" s="521">
        <f>D31*E31</f>
        <v>84293.4</v>
      </c>
    </row>
    <row r="32" spans="1:6" ht="19.5">
      <c r="A32" s="496"/>
      <c r="B32" s="507" t="s">
        <v>961</v>
      </c>
      <c r="C32" s="496"/>
      <c r="D32" s="496"/>
      <c r="E32" s="521"/>
      <c r="F32" s="521"/>
    </row>
    <row r="33" spans="1:6" ht="19.5">
      <c r="A33" s="496"/>
      <c r="B33" s="507" t="s">
        <v>962</v>
      </c>
      <c r="C33" s="496"/>
      <c r="D33" s="496"/>
      <c r="E33" s="521"/>
      <c r="F33" s="521">
        <f>D33*E33</f>
        <v>0</v>
      </c>
    </row>
    <row r="34" spans="1:6" ht="19.5">
      <c r="A34" s="496"/>
      <c r="B34" s="497" t="s">
        <v>963</v>
      </c>
      <c r="C34" s="496"/>
      <c r="D34" s="496"/>
      <c r="E34" s="521"/>
      <c r="F34" s="521"/>
    </row>
    <row r="35" spans="1:6" ht="19.5">
      <c r="A35" s="496">
        <v>5</v>
      </c>
      <c r="B35" s="508" t="s">
        <v>964</v>
      </c>
      <c r="C35" s="496" t="s">
        <v>960</v>
      </c>
      <c r="D35" s="496">
        <f>24+6</f>
        <v>30</v>
      </c>
      <c r="E35" s="520">
        <v>759.4</v>
      </c>
      <c r="F35" s="521">
        <f>D35*E35</f>
        <v>22782</v>
      </c>
    </row>
    <row r="36" spans="1:6" ht="19.5">
      <c r="A36" s="496"/>
      <c r="B36" s="508" t="s">
        <v>966</v>
      </c>
      <c r="C36" s="496"/>
      <c r="D36" s="496"/>
      <c r="E36" s="521"/>
      <c r="F36" s="521"/>
    </row>
    <row r="37" spans="1:6" ht="19.5">
      <c r="A37" s="496"/>
      <c r="B37" s="507" t="s">
        <v>965</v>
      </c>
      <c r="C37" s="496"/>
      <c r="D37" s="496"/>
      <c r="E37" s="521"/>
      <c r="F37" s="521"/>
    </row>
    <row r="38" spans="1:6" ht="19.5">
      <c r="A38" s="496"/>
      <c r="B38" s="497" t="s">
        <v>967</v>
      </c>
      <c r="C38" s="496"/>
      <c r="D38" s="496"/>
      <c r="E38" s="521"/>
      <c r="F38" s="521"/>
    </row>
    <row r="39" spans="1:6" ht="22.5">
      <c r="A39" s="496">
        <v>6</v>
      </c>
      <c r="B39" s="515" t="s">
        <v>968</v>
      </c>
      <c r="C39" s="496" t="s">
        <v>969</v>
      </c>
      <c r="D39" s="525">
        <f>1*5280*3*1.05/8.61/1000</f>
        <v>1.9317073170731707</v>
      </c>
      <c r="E39" s="520">
        <v>759.4</v>
      </c>
      <c r="F39" s="521">
        <f>D39*E39</f>
        <v>1466.9385365853657</v>
      </c>
    </row>
    <row r="40" spans="1:6" ht="19.5">
      <c r="A40" s="496"/>
      <c r="B40" s="507" t="s">
        <v>971</v>
      </c>
      <c r="C40" s="496"/>
      <c r="D40" s="496"/>
      <c r="E40" s="521"/>
      <c r="F40" s="521"/>
    </row>
    <row r="41" spans="1:6" ht="19.5">
      <c r="A41" s="494"/>
      <c r="B41" s="517" t="s">
        <v>970</v>
      </c>
      <c r="C41" s="494"/>
      <c r="D41" s="494"/>
      <c r="E41" s="531"/>
      <c r="F41" s="531"/>
    </row>
    <row r="42" spans="1:6" ht="19.5">
      <c r="A42" s="496">
        <v>7</v>
      </c>
      <c r="B42" s="507" t="s">
        <v>972</v>
      </c>
      <c r="C42" s="496" t="s">
        <v>933</v>
      </c>
      <c r="D42" s="496">
        <v>18</v>
      </c>
      <c r="E42" s="520">
        <v>759.4</v>
      </c>
      <c r="F42" s="521">
        <f>D42*E42</f>
        <v>13669.199999999999</v>
      </c>
    </row>
    <row r="43" spans="1:6" ht="19.5">
      <c r="A43" s="496"/>
      <c r="B43" s="507" t="s">
        <v>973</v>
      </c>
      <c r="C43" s="496"/>
      <c r="D43" s="496"/>
      <c r="E43" s="521"/>
      <c r="F43" s="521"/>
    </row>
    <row r="44" spans="1:6" ht="19.5">
      <c r="A44" s="496"/>
      <c r="B44" s="497" t="s">
        <v>974</v>
      </c>
      <c r="C44" s="496"/>
      <c r="D44" s="496"/>
      <c r="E44" s="521"/>
      <c r="F44" s="521"/>
    </row>
    <row r="45" spans="1:6" ht="19.5">
      <c r="A45" s="496">
        <v>8</v>
      </c>
      <c r="B45" s="508" t="s">
        <v>975</v>
      </c>
      <c r="C45" s="496" t="s">
        <v>976</v>
      </c>
      <c r="D45" s="496">
        <f>18*5</f>
        <v>90</v>
      </c>
      <c r="E45" s="520">
        <v>759.4</v>
      </c>
      <c r="F45" s="521">
        <f>D45*E45</f>
        <v>68346</v>
      </c>
    </row>
    <row r="46" spans="1:6" ht="19.5">
      <c r="A46" s="496"/>
      <c r="B46" s="497" t="s">
        <v>977</v>
      </c>
      <c r="C46" s="496"/>
      <c r="D46" s="496"/>
      <c r="E46" s="520"/>
      <c r="F46" s="521"/>
    </row>
    <row r="47" spans="1:6" ht="19.5">
      <c r="A47" s="496">
        <v>9</v>
      </c>
      <c r="B47" s="508" t="s">
        <v>978</v>
      </c>
      <c r="C47" s="496" t="s">
        <v>933</v>
      </c>
      <c r="D47" s="496">
        <v>18</v>
      </c>
      <c r="E47" s="520">
        <v>759.4</v>
      </c>
      <c r="F47" s="521">
        <f>D47*E47</f>
        <v>13669.199999999999</v>
      </c>
    </row>
    <row r="48" spans="1:6" ht="19.5">
      <c r="A48" s="496"/>
      <c r="B48" s="497" t="s">
        <v>979</v>
      </c>
      <c r="C48" s="496"/>
      <c r="D48" s="496"/>
      <c r="E48" s="520"/>
      <c r="F48" s="521"/>
    </row>
    <row r="49" spans="1:6" ht="19.5">
      <c r="A49" s="496">
        <v>10</v>
      </c>
      <c r="B49" s="507" t="s">
        <v>980</v>
      </c>
      <c r="C49" s="496" t="s">
        <v>976</v>
      </c>
      <c r="D49" s="516">
        <v>25</v>
      </c>
      <c r="E49" s="520">
        <v>759.4</v>
      </c>
      <c r="F49" s="521">
        <f>D49*E49</f>
        <v>18985</v>
      </c>
    </row>
    <row r="50" spans="1:6" ht="22.5">
      <c r="A50" s="496">
        <v>11</v>
      </c>
      <c r="B50" s="515" t="s">
        <v>981</v>
      </c>
      <c r="C50" s="496" t="s">
        <v>933</v>
      </c>
      <c r="D50" s="496">
        <v>30</v>
      </c>
      <c r="E50" s="520">
        <v>759.4</v>
      </c>
      <c r="F50" s="521">
        <f>D50*E50</f>
        <v>22782</v>
      </c>
    </row>
    <row r="51" spans="1:6" ht="19.5">
      <c r="A51" s="496"/>
      <c r="B51" s="507" t="s">
        <v>982</v>
      </c>
      <c r="C51" s="496"/>
      <c r="D51" s="496"/>
      <c r="E51" s="521"/>
      <c r="F51" s="521"/>
    </row>
    <row r="52" spans="1:6" ht="19.5">
      <c r="A52" s="496"/>
      <c r="B52" s="497" t="s">
        <v>983</v>
      </c>
      <c r="C52" s="496"/>
      <c r="D52" s="496"/>
      <c r="E52" s="521"/>
      <c r="F52" s="521"/>
    </row>
    <row r="53" spans="1:6" ht="19.5">
      <c r="A53" s="496">
        <v>12</v>
      </c>
      <c r="B53" s="508" t="s">
        <v>984</v>
      </c>
      <c r="C53" s="496" t="s">
        <v>933</v>
      </c>
      <c r="D53" s="496">
        <v>30</v>
      </c>
      <c r="E53" s="520">
        <v>759.4</v>
      </c>
      <c r="F53" s="521">
        <f>D53*E53</f>
        <v>22782</v>
      </c>
    </row>
    <row r="54" spans="1:6" ht="19.5">
      <c r="A54" s="496"/>
      <c r="B54" s="507" t="s">
        <v>982</v>
      </c>
      <c r="C54" s="496"/>
      <c r="D54" s="496"/>
      <c r="E54" s="521"/>
      <c r="F54" s="521"/>
    </row>
    <row r="55" spans="1:6" ht="19.5">
      <c r="A55" s="517"/>
      <c r="B55" s="495" t="s">
        <v>983</v>
      </c>
      <c r="C55" s="517"/>
      <c r="D55" s="517"/>
      <c r="E55" s="526"/>
      <c r="F55" s="526"/>
    </row>
    <row r="56" spans="1:6" ht="19.5"/>
    <row r="57" spans="1:6" ht="19.5"/>
    <row r="58" spans="1:6" ht="19.5"/>
    <row r="59" spans="1:6" ht="19.5"/>
    <row r="60" spans="1:6" ht="19.5"/>
    <row r="61" spans="1:6" ht="19.5"/>
    <row r="62" spans="1:6" ht="19.5"/>
    <row r="63" spans="1:6" ht="19.5"/>
    <row r="64" spans="1:6" ht="19.5"/>
    <row r="65" spans="1:8" ht="19.5"/>
    <row r="66" spans="1:8" ht="19.5"/>
    <row r="67" spans="1:8" ht="19.5"/>
    <row r="68" spans="1:8" ht="19.5"/>
    <row r="69" spans="1:8" ht="19.5"/>
    <row r="70" spans="1:8" ht="19.5"/>
    <row r="71" spans="1:8" ht="19.5"/>
    <row r="72" spans="1:8" ht="19.5"/>
    <row r="73" spans="1:8" ht="19.5"/>
    <row r="74" spans="1:8" ht="19.5"/>
    <row r="75" spans="1:8" ht="19.5"/>
    <row r="76" spans="1:8" ht="19.5"/>
    <row r="77" spans="1:8" s="511" customFormat="1" ht="19.5">
      <c r="A77" s="506"/>
      <c r="B77" s="506"/>
      <c r="C77" s="506"/>
      <c r="D77" s="506"/>
      <c r="E77" s="527"/>
      <c r="F77" s="527"/>
      <c r="G77" s="506"/>
      <c r="H77" s="506"/>
    </row>
    <row r="78" spans="1:8" ht="19.5"/>
    <row r="79" spans="1:8" ht="19.5"/>
    <row r="80" spans="1:8" s="511" customFormat="1" ht="19.5">
      <c r="A80" s="506"/>
      <c r="B80" s="506"/>
      <c r="C80" s="506"/>
      <c r="D80" s="506"/>
      <c r="E80" s="527"/>
      <c r="F80" s="527"/>
      <c r="G80" s="506"/>
      <c r="H80" s="506"/>
    </row>
    <row r="81" spans="1:8" s="511" customFormat="1" ht="19.5">
      <c r="A81" s="506"/>
      <c r="B81" s="506"/>
      <c r="C81" s="506"/>
      <c r="D81" s="506"/>
      <c r="E81" s="527"/>
      <c r="F81" s="527"/>
      <c r="G81" s="506"/>
      <c r="H81" s="506"/>
    </row>
    <row r="82" spans="1:8" s="511" customFormat="1" ht="19.5">
      <c r="A82" s="506"/>
      <c r="B82" s="506"/>
      <c r="C82" s="506"/>
      <c r="D82" s="506"/>
      <c r="E82" s="527"/>
      <c r="F82" s="527"/>
      <c r="G82" s="506"/>
      <c r="H82" s="506"/>
    </row>
    <row r="83" spans="1:8" s="511" customFormat="1" ht="19.5">
      <c r="A83" s="506"/>
      <c r="B83" s="506"/>
      <c r="C83" s="506"/>
      <c r="D83" s="506"/>
      <c r="E83" s="527"/>
      <c r="F83" s="527"/>
      <c r="G83" s="506"/>
      <c r="H83" s="506"/>
    </row>
    <row r="84" spans="1:8" s="511" customFormat="1" ht="19.5">
      <c r="A84" s="506"/>
      <c r="B84" s="506"/>
      <c r="C84" s="506"/>
      <c r="D84" s="506"/>
      <c r="E84" s="527"/>
      <c r="F84" s="527"/>
      <c r="G84" s="506"/>
      <c r="H84" s="506"/>
    </row>
    <row r="85" spans="1:8" ht="19.5"/>
    <row r="86" spans="1:8" ht="19.5"/>
    <row r="87" spans="1:8" ht="19.5"/>
    <row r="88" spans="1:8" ht="19.5"/>
    <row r="89" spans="1:8" s="511" customFormat="1" ht="19.5">
      <c r="A89" s="506"/>
      <c r="B89" s="506"/>
      <c r="C89" s="506"/>
      <c r="D89" s="506"/>
      <c r="E89" s="527"/>
      <c r="F89" s="527"/>
      <c r="G89" s="506"/>
      <c r="H89" s="506"/>
    </row>
    <row r="90" spans="1:8" s="511" customFormat="1" ht="19.5">
      <c r="A90" s="506"/>
      <c r="B90" s="506"/>
      <c r="C90" s="506"/>
      <c r="D90" s="506"/>
      <c r="E90" s="527"/>
      <c r="F90" s="527"/>
      <c r="G90" s="506"/>
      <c r="H90" s="506"/>
    </row>
    <row r="91" spans="1:8" s="511" customFormat="1" ht="19.5">
      <c r="A91" s="506"/>
      <c r="B91" s="506"/>
      <c r="C91" s="506"/>
      <c r="D91" s="506"/>
      <c r="E91" s="527"/>
      <c r="F91" s="527"/>
      <c r="G91" s="506"/>
      <c r="H91" s="506"/>
    </row>
    <row r="92" spans="1:8" s="511" customFormat="1" ht="19.5">
      <c r="A92" s="506"/>
      <c r="B92" s="506"/>
      <c r="C92" s="506"/>
      <c r="D92" s="506"/>
      <c r="E92" s="527"/>
      <c r="F92" s="527"/>
      <c r="G92" s="506"/>
      <c r="H92" s="506"/>
    </row>
    <row r="93" spans="1:8" s="511" customFormat="1" ht="19.5">
      <c r="A93" s="506"/>
      <c r="B93" s="506"/>
      <c r="C93" s="506"/>
      <c r="D93" s="506"/>
      <c r="E93" s="527"/>
      <c r="F93" s="527"/>
      <c r="G93" s="506"/>
      <c r="H93" s="506"/>
    </row>
    <row r="94" spans="1:8" s="511" customFormat="1" ht="19.5">
      <c r="A94" s="506"/>
      <c r="B94" s="506"/>
      <c r="C94" s="506"/>
      <c r="D94" s="506"/>
      <c r="E94" s="527"/>
      <c r="F94" s="527"/>
      <c r="G94" s="506"/>
      <c r="H94" s="506"/>
    </row>
    <row r="95" spans="1:8" s="511" customFormat="1" ht="19.5">
      <c r="A95" s="506"/>
      <c r="B95" s="506"/>
      <c r="C95" s="506"/>
      <c r="D95" s="506"/>
      <c r="E95" s="527"/>
      <c r="F95" s="527"/>
      <c r="G95" s="506"/>
      <c r="H95" s="506"/>
    </row>
    <row r="96" spans="1:8" s="511" customFormat="1" ht="19.5">
      <c r="A96" s="506"/>
      <c r="B96" s="506"/>
      <c r="C96" s="506"/>
      <c r="D96" s="506"/>
      <c r="E96" s="527"/>
      <c r="F96" s="527"/>
      <c r="G96" s="506"/>
      <c r="H96" s="506"/>
    </row>
    <row r="97" spans="1:8" s="511" customFormat="1" ht="19.5">
      <c r="A97" s="506"/>
      <c r="B97" s="506"/>
      <c r="C97" s="506"/>
      <c r="D97" s="506"/>
      <c r="E97" s="527"/>
      <c r="F97" s="527"/>
      <c r="G97" s="506"/>
      <c r="H97" s="506"/>
    </row>
    <row r="98" spans="1:8" s="511" customFormat="1" ht="19.5">
      <c r="A98" s="506"/>
      <c r="B98" s="506"/>
      <c r="C98" s="506"/>
      <c r="D98" s="506"/>
      <c r="E98" s="527"/>
      <c r="F98" s="527"/>
      <c r="G98" s="506"/>
      <c r="H98" s="506"/>
    </row>
    <row r="99" spans="1:8" s="511" customFormat="1" ht="19.5">
      <c r="A99" s="506"/>
      <c r="B99" s="506"/>
      <c r="C99" s="506"/>
      <c r="D99" s="506"/>
      <c r="E99" s="527"/>
      <c r="F99" s="527"/>
      <c r="G99" s="506"/>
      <c r="H99" s="506"/>
    </row>
    <row r="100" spans="1:8" s="511" customFormat="1" ht="19.5">
      <c r="A100" s="506"/>
      <c r="B100" s="506"/>
      <c r="C100" s="506"/>
      <c r="D100" s="506"/>
      <c r="E100" s="527"/>
      <c r="F100" s="527"/>
      <c r="G100" s="506"/>
      <c r="H100" s="506"/>
    </row>
    <row r="101" spans="1:8" s="511" customFormat="1" ht="19.5">
      <c r="A101" s="506"/>
      <c r="B101" s="506"/>
      <c r="C101" s="506"/>
      <c r="D101" s="506"/>
      <c r="E101" s="527"/>
      <c r="F101" s="527"/>
      <c r="G101" s="506"/>
      <c r="H101" s="506"/>
    </row>
    <row r="102" spans="1:8" s="511" customFormat="1" ht="19.5">
      <c r="A102" s="506"/>
      <c r="B102" s="506"/>
      <c r="C102" s="506"/>
      <c r="D102" s="506"/>
      <c r="E102" s="527"/>
      <c r="F102" s="527"/>
      <c r="G102" s="506"/>
      <c r="H102" s="506"/>
    </row>
    <row r="103" spans="1:8" s="511" customFormat="1" ht="19.5">
      <c r="A103" s="506"/>
      <c r="B103" s="506"/>
      <c r="C103" s="506"/>
      <c r="D103" s="506"/>
      <c r="E103" s="527"/>
      <c r="F103" s="527"/>
      <c r="G103" s="506"/>
      <c r="H103" s="506"/>
    </row>
    <row r="104" spans="1:8" s="511" customFormat="1" ht="19.5">
      <c r="A104" s="506"/>
      <c r="B104" s="506"/>
      <c r="C104" s="506"/>
      <c r="D104" s="506"/>
      <c r="E104" s="527"/>
      <c r="F104" s="527"/>
      <c r="G104" s="506"/>
      <c r="H104" s="506"/>
    </row>
    <row r="105" spans="1:8" s="511" customFormat="1" ht="19.5">
      <c r="A105" s="506"/>
      <c r="B105" s="506"/>
      <c r="C105" s="506"/>
      <c r="D105" s="506"/>
      <c r="E105" s="527"/>
      <c r="F105" s="527"/>
      <c r="G105" s="506"/>
      <c r="H105" s="506"/>
    </row>
    <row r="106" spans="1:8" s="513" customFormat="1" ht="19.5">
      <c r="A106" s="506"/>
      <c r="B106" s="506"/>
      <c r="C106" s="506"/>
      <c r="D106" s="506"/>
      <c r="E106" s="527"/>
      <c r="F106" s="527"/>
      <c r="G106" s="506"/>
      <c r="H106" s="506"/>
    </row>
    <row r="107" spans="1:8" s="513" customFormat="1" ht="19.5">
      <c r="A107" s="506"/>
      <c r="B107" s="506"/>
      <c r="C107" s="506"/>
      <c r="D107" s="506"/>
      <c r="E107" s="527"/>
      <c r="F107" s="527"/>
      <c r="G107" s="506"/>
      <c r="H107" s="506"/>
    </row>
    <row r="108" spans="1:8" s="513" customFormat="1" ht="19.5">
      <c r="A108" s="506"/>
      <c r="B108" s="506"/>
      <c r="C108" s="506"/>
      <c r="D108" s="506"/>
      <c r="E108" s="527"/>
      <c r="F108" s="527"/>
      <c r="G108" s="506"/>
      <c r="H108" s="506"/>
    </row>
    <row r="109" spans="1:8" s="513" customFormat="1" ht="18.95" customHeight="1">
      <c r="A109" s="506"/>
      <c r="B109" s="506"/>
      <c r="C109" s="506"/>
      <c r="D109" s="506"/>
      <c r="E109" s="527"/>
      <c r="F109" s="527"/>
      <c r="G109" s="506"/>
      <c r="H109" s="506"/>
    </row>
    <row r="110" spans="1:8" s="513" customFormat="1" ht="18.95" customHeight="1">
      <c r="A110" s="506"/>
      <c r="B110" s="506"/>
      <c r="C110" s="506"/>
      <c r="D110" s="506"/>
      <c r="E110" s="527"/>
      <c r="F110" s="527"/>
      <c r="G110" s="506"/>
      <c r="H110" s="506"/>
    </row>
    <row r="111" spans="1:8" s="513" customFormat="1" ht="18.95" customHeight="1">
      <c r="A111" s="506"/>
      <c r="B111" s="506"/>
      <c r="C111" s="506"/>
      <c r="D111" s="506"/>
      <c r="E111" s="527"/>
      <c r="F111" s="527"/>
      <c r="G111" s="506"/>
      <c r="H111" s="506"/>
    </row>
    <row r="112" spans="1:8" s="513" customFormat="1" ht="18.95" customHeight="1">
      <c r="A112" s="506"/>
      <c r="B112" s="506"/>
      <c r="C112" s="506"/>
      <c r="D112" s="506"/>
      <c r="E112" s="527"/>
      <c r="F112" s="527"/>
      <c r="G112" s="506"/>
      <c r="H112" s="506"/>
    </row>
    <row r="113" spans="1:8" s="513" customFormat="1" ht="18.95" customHeight="1">
      <c r="A113" s="506"/>
      <c r="B113" s="506"/>
      <c r="C113" s="506"/>
      <c r="D113" s="506"/>
      <c r="E113" s="527"/>
      <c r="F113" s="527"/>
      <c r="G113" s="506"/>
      <c r="H113" s="506"/>
    </row>
    <row r="114" spans="1:8" s="513" customFormat="1" ht="18.95" customHeight="1">
      <c r="A114" s="506"/>
      <c r="B114" s="506"/>
      <c r="C114" s="506"/>
      <c r="D114" s="506"/>
      <c r="E114" s="527"/>
      <c r="F114" s="527"/>
      <c r="G114" s="506"/>
      <c r="H114" s="506"/>
    </row>
    <row r="115" spans="1:8" s="514" customFormat="1" ht="18.95" customHeight="1">
      <c r="A115" s="506"/>
      <c r="B115" s="506"/>
      <c r="C115" s="506"/>
      <c r="D115" s="506"/>
      <c r="E115" s="527"/>
      <c r="F115" s="527"/>
      <c r="G115" s="506"/>
      <c r="H115" s="506"/>
    </row>
    <row r="116" spans="1:8" s="514" customFormat="1" ht="18.95" customHeight="1">
      <c r="A116" s="506"/>
      <c r="B116" s="506"/>
      <c r="C116" s="506"/>
      <c r="D116" s="506"/>
      <c r="E116" s="527"/>
      <c r="F116" s="527"/>
      <c r="G116" s="506"/>
      <c r="H116" s="506"/>
    </row>
    <row r="117" spans="1:8" s="514" customFormat="1" ht="18.95" customHeight="1">
      <c r="A117" s="506"/>
      <c r="B117" s="506"/>
      <c r="C117" s="506"/>
      <c r="D117" s="506"/>
      <c r="E117" s="527"/>
      <c r="F117" s="527"/>
      <c r="G117" s="506"/>
      <c r="H117" s="506"/>
    </row>
    <row r="118" spans="1:8" s="514" customFormat="1" ht="18.95" customHeight="1">
      <c r="A118" s="506"/>
      <c r="B118" s="506"/>
      <c r="C118" s="506"/>
      <c r="D118" s="506"/>
      <c r="E118" s="527"/>
      <c r="F118" s="527"/>
      <c r="G118" s="506"/>
      <c r="H118" s="506"/>
    </row>
    <row r="119" spans="1:8" s="514" customFormat="1" ht="18.95" customHeight="1">
      <c r="A119" s="506"/>
      <c r="B119" s="506"/>
      <c r="C119" s="506"/>
      <c r="D119" s="506"/>
      <c r="E119" s="527"/>
      <c r="F119" s="527"/>
      <c r="G119" s="506"/>
      <c r="H119" s="506"/>
    </row>
    <row r="120" spans="1:8" s="514" customFormat="1" ht="18.95" customHeight="1">
      <c r="A120" s="506"/>
      <c r="B120" s="506"/>
      <c r="C120" s="506"/>
      <c r="D120" s="506"/>
      <c r="E120" s="527"/>
      <c r="F120" s="527"/>
      <c r="G120" s="506"/>
      <c r="H120" s="506"/>
    </row>
    <row r="121" spans="1:8" s="514" customFormat="1" ht="18.95" customHeight="1">
      <c r="A121" s="506"/>
      <c r="B121" s="506"/>
      <c r="C121" s="506"/>
      <c r="D121" s="506"/>
      <c r="E121" s="527"/>
      <c r="F121" s="527"/>
      <c r="G121" s="506"/>
      <c r="H121" s="506"/>
    </row>
    <row r="122" spans="1:8" s="514" customFormat="1" ht="18.95" customHeight="1">
      <c r="A122" s="506"/>
      <c r="B122" s="506"/>
      <c r="C122" s="506"/>
      <c r="D122" s="506"/>
      <c r="E122" s="527"/>
      <c r="F122" s="527"/>
      <c r="G122" s="506"/>
      <c r="H122" s="506"/>
    </row>
    <row r="125" spans="1:8" ht="19.5"/>
    <row r="126" spans="1:8" ht="19.5"/>
    <row r="127" spans="1:8" ht="19.5"/>
    <row r="128" spans="1:8" ht="19.5"/>
    <row r="129" ht="19.5"/>
    <row r="130" ht="19.5"/>
    <row r="131" ht="19.5"/>
    <row r="132" ht="19.5"/>
    <row r="133" ht="19.5"/>
    <row r="134" ht="19.5"/>
    <row r="135" ht="19.5"/>
    <row r="136" ht="19.5"/>
    <row r="137" ht="19.5"/>
    <row r="138" ht="19.5"/>
    <row r="139" ht="19.5"/>
    <row r="140" ht="19.5"/>
    <row r="141" ht="19.5"/>
    <row r="142" ht="19.5"/>
    <row r="143" ht="19.5"/>
    <row r="144" ht="19.5"/>
    <row r="145" ht="19.5"/>
    <row r="146" ht="19.5"/>
    <row r="147" ht="19.5"/>
    <row r="148" ht="19.5"/>
    <row r="149" ht="19.5"/>
    <row r="150" ht="19.5"/>
    <row r="151" ht="19.5"/>
    <row r="152" ht="19.5"/>
    <row r="153" ht="19.5"/>
    <row r="154" ht="19.5"/>
    <row r="155" ht="19.5"/>
    <row r="156" ht="19.5"/>
    <row r="157" ht="19.5"/>
    <row r="158" ht="19.5"/>
    <row r="159" ht="19.5"/>
    <row r="160" ht="19.5"/>
    <row r="161" ht="19.5"/>
    <row r="162" ht="19.5"/>
    <row r="163" ht="19.5"/>
    <row r="164" ht="19.5"/>
    <row r="165" ht="19.5"/>
    <row r="166" ht="19.5"/>
    <row r="167" ht="19.5"/>
    <row r="168" ht="19.5"/>
    <row r="169" ht="19.5"/>
    <row r="170" ht="19.5"/>
    <row r="171" ht="19.5"/>
    <row r="172" ht="19.5"/>
    <row r="173" ht="19.5"/>
    <row r="174" ht="19.5"/>
    <row r="175" ht="19.5"/>
    <row r="176" ht="19.5"/>
    <row r="177" ht="19.5"/>
    <row r="178" ht="19.5"/>
    <row r="179" ht="19.5"/>
    <row r="180" ht="19.5"/>
    <row r="181" ht="19.5"/>
    <row r="182" ht="19.5"/>
    <row r="183" ht="19.5"/>
    <row r="184" ht="19.5"/>
    <row r="185" ht="19.5"/>
    <row r="186" ht="19.5"/>
    <row r="187" ht="19.5"/>
    <row r="188" ht="19.5"/>
    <row r="189" ht="19.5"/>
    <row r="190" ht="19.5"/>
    <row r="191" ht="19.5"/>
    <row r="192" ht="19.5"/>
    <row r="193" ht="19.5"/>
    <row r="194" ht="19.5"/>
    <row r="195" ht="19.5"/>
    <row r="196" ht="19.5"/>
    <row r="197" ht="19.5"/>
    <row r="198" ht="19.5"/>
    <row r="199" ht="19.5"/>
    <row r="200" ht="19.5"/>
    <row r="201" ht="19.5"/>
    <row r="202" ht="19.5"/>
    <row r="203" ht="19.5"/>
    <row r="204" ht="19.5"/>
    <row r="205" ht="19.5"/>
    <row r="206" ht="19.5"/>
    <row r="207" ht="19.5"/>
    <row r="208" ht="19.5"/>
    <row r="209" ht="19.5"/>
    <row r="210" ht="19.5"/>
    <row r="211" ht="19.5"/>
    <row r="212" ht="19.5"/>
    <row r="213" ht="19.5"/>
    <row r="214" ht="19.5"/>
    <row r="215" ht="19.5"/>
    <row r="216" ht="19.5"/>
    <row r="217" ht="19.5"/>
    <row r="218" ht="19.5"/>
    <row r="219" ht="19.5"/>
    <row r="220" ht="19.5"/>
    <row r="221" ht="19.5"/>
    <row r="222" ht="19.5"/>
    <row r="223" ht="19.5"/>
    <row r="224" ht="19.5"/>
    <row r="225" ht="19.5"/>
    <row r="226" ht="19.5"/>
    <row r="227" ht="19.5"/>
    <row r="228" ht="19.5"/>
    <row r="229" ht="19.5"/>
    <row r="230" ht="19.5"/>
    <row r="231" ht="19.5"/>
    <row r="232" ht="19.5"/>
    <row r="233" ht="19.5"/>
    <row r="234" ht="19.5"/>
    <row r="235" ht="19.5"/>
    <row r="236" ht="19.5"/>
    <row r="237" ht="19.5"/>
    <row r="238" ht="19.5"/>
    <row r="239" ht="19.5"/>
    <row r="240" ht="19.5"/>
    <row r="241" ht="19.5"/>
    <row r="242" ht="19.5"/>
    <row r="243" ht="19.5"/>
    <row r="244" ht="19.5"/>
    <row r="245" ht="19.5"/>
    <row r="246" ht="19.5"/>
    <row r="247" ht="19.5"/>
    <row r="248" ht="19.5"/>
    <row r="249" ht="19.5"/>
    <row r="250" ht="19.5"/>
    <row r="251" ht="19.5"/>
    <row r="252" ht="19.5"/>
    <row r="253" ht="19.5"/>
    <row r="254" ht="19.5"/>
    <row r="255" ht="19.5"/>
    <row r="256" ht="19.5"/>
    <row r="257" ht="19.5"/>
    <row r="258" ht="19.5"/>
    <row r="259" ht="19.5"/>
    <row r="260" ht="19.5"/>
    <row r="261" ht="19.5"/>
    <row r="262" ht="19.5"/>
    <row r="263" ht="19.5"/>
    <row r="264" ht="19.5"/>
    <row r="265" ht="19.5"/>
    <row r="266" ht="19.5"/>
    <row r="267" ht="19.5"/>
    <row r="268" ht="19.5"/>
    <row r="269" ht="19.5"/>
    <row r="270" ht="19.5"/>
    <row r="271" ht="19.5"/>
    <row r="272" ht="19.5"/>
    <row r="273" ht="19.5"/>
    <row r="274" ht="19.5"/>
    <row r="275" ht="19.5"/>
    <row r="276" ht="19.5"/>
    <row r="277" ht="19.5"/>
    <row r="278" ht="19.5"/>
    <row r="279" ht="19.5"/>
    <row r="280" ht="19.5"/>
    <row r="281" ht="19.5"/>
    <row r="282" ht="19.5"/>
    <row r="283" ht="19.5"/>
    <row r="284" ht="19.5"/>
    <row r="285" ht="19.5"/>
    <row r="286" ht="19.5"/>
    <row r="287" ht="19.5"/>
    <row r="288" ht="19.5"/>
    <row r="289" ht="19.5"/>
    <row r="290" ht="19.5"/>
    <row r="291" ht="19.5"/>
    <row r="292" ht="19.5"/>
    <row r="293" ht="19.5"/>
    <row r="294" ht="19.5"/>
    <row r="295" ht="19.5"/>
    <row r="296" ht="19.5"/>
    <row r="297" ht="19.5"/>
    <row r="298" ht="19.5"/>
    <row r="299" ht="19.5"/>
    <row r="300" ht="19.5"/>
    <row r="301" ht="19.5"/>
    <row r="302" ht="19.5"/>
    <row r="303" ht="19.5"/>
    <row r="304" ht="19.5"/>
    <row r="305" ht="19.5"/>
    <row r="306" ht="19.5"/>
    <row r="307" ht="19.5"/>
    <row r="308" ht="19.5"/>
    <row r="309" ht="19.5"/>
    <row r="310" ht="19.5"/>
    <row r="311" ht="19.5"/>
    <row r="312" ht="19.5"/>
    <row r="313" ht="19.5"/>
    <row r="314" ht="19.5"/>
    <row r="315" ht="19.5"/>
    <row r="316" ht="19.5"/>
    <row r="317" ht="19.5"/>
    <row r="318" ht="19.5"/>
    <row r="319" ht="19.5"/>
    <row r="320" ht="19.5"/>
    <row r="321" ht="19.5"/>
    <row r="322" ht="19.5"/>
    <row r="323" ht="19.5"/>
    <row r="324" ht="19.5"/>
    <row r="325" ht="19.5"/>
    <row r="326" ht="19.5"/>
    <row r="327" ht="19.5"/>
    <row r="328" ht="19.5"/>
    <row r="329" ht="19.5"/>
    <row r="330" ht="19.5"/>
    <row r="331" ht="19.5"/>
    <row r="332" ht="19.5"/>
    <row r="333" ht="19.5"/>
    <row r="334" ht="19.5"/>
    <row r="335" ht="19.5"/>
    <row r="336" ht="19.5"/>
    <row r="337" ht="19.5"/>
    <row r="338" ht="19.5"/>
    <row r="339" ht="19.5"/>
    <row r="340" ht="19.5"/>
    <row r="341" ht="19.5"/>
    <row r="342" ht="19.5"/>
    <row r="343" ht="19.5"/>
    <row r="344" ht="19.5"/>
    <row r="345" ht="19.5"/>
    <row r="346" ht="19.5"/>
    <row r="347" ht="19.5"/>
    <row r="348" ht="19.5"/>
    <row r="349" ht="19.5"/>
    <row r="350" ht="19.5"/>
    <row r="351" ht="19.5"/>
    <row r="352" ht="19.5"/>
    <row r="353" ht="19.5"/>
    <row r="354" ht="19.5"/>
    <row r="355" ht="19.5"/>
    <row r="356" ht="19.5"/>
    <row r="357" ht="19.5"/>
    <row r="358" ht="19.5"/>
    <row r="359" ht="19.5"/>
    <row r="360" ht="19.5"/>
    <row r="361" ht="19.5"/>
    <row r="362" ht="19.5"/>
    <row r="363" ht="19.5"/>
    <row r="364" ht="19.5"/>
    <row r="365" ht="19.5"/>
    <row r="366" ht="19.5"/>
    <row r="367" ht="19.5"/>
    <row r="368" ht="19.5"/>
    <row r="369" ht="19.5"/>
    <row r="370" ht="19.5"/>
    <row r="371" ht="19.5"/>
    <row r="372" ht="19.5"/>
    <row r="373" ht="19.5"/>
    <row r="374" ht="19.5"/>
    <row r="375" ht="19.5"/>
    <row r="376" ht="19.5"/>
    <row r="377" ht="19.5"/>
    <row r="378" ht="19.5"/>
    <row r="379" ht="19.5"/>
    <row r="380" ht="19.5"/>
    <row r="381" ht="19.5"/>
    <row r="382" ht="19.5"/>
    <row r="383" ht="19.5"/>
    <row r="384" ht="19.5"/>
    <row r="385" ht="19.5"/>
    <row r="386" ht="19.5"/>
    <row r="387" ht="19.5"/>
    <row r="388" ht="19.5"/>
    <row r="389" ht="19.5"/>
    <row r="390" ht="19.5"/>
    <row r="391" ht="19.5"/>
    <row r="392" ht="19.5"/>
    <row r="393" ht="19.5"/>
    <row r="394" ht="19.5"/>
    <row r="395" ht="19.5"/>
    <row r="396" ht="19.5"/>
    <row r="397" ht="19.5"/>
    <row r="398" ht="19.5"/>
    <row r="399" ht="19.5"/>
    <row r="400" ht="19.5"/>
  </sheetData>
  <mergeCells count="1">
    <mergeCell ref="A1:F1"/>
  </mergeCells>
  <pageMargins left="0.5" right="0" top="0.25" bottom="0" header="0" footer="0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5"/>
  <sheetViews>
    <sheetView zoomScale="55" zoomScaleNormal="55" workbookViewId="0">
      <selection activeCell="E9" sqref="E9"/>
    </sheetView>
  </sheetViews>
  <sheetFormatPr defaultColWidth="9.140625" defaultRowHeight="30" customHeight="1"/>
  <cols>
    <col min="1" max="1" width="8.7109375" style="532" customWidth="1"/>
    <col min="2" max="2" width="66.7109375" style="532" customWidth="1"/>
    <col min="3" max="3" width="16.7109375" style="543" customWidth="1"/>
    <col min="4" max="4" width="22.28515625" style="544" customWidth="1"/>
    <col min="5" max="8" width="11.28515625" style="544" customWidth="1"/>
    <col min="9" max="9" width="19" style="544" customWidth="1"/>
    <col min="10" max="10" width="24" style="544" customWidth="1"/>
    <col min="11" max="12" width="9.140625" style="544"/>
    <col min="13" max="13" width="17.7109375" style="544" customWidth="1"/>
    <col min="14" max="16384" width="9.140625" style="544"/>
  </cols>
  <sheetData>
    <row r="1" spans="1:13" s="532" customFormat="1" ht="32.25" customHeight="1">
      <c r="A1" s="772" t="s">
        <v>1045</v>
      </c>
      <c r="B1" s="772"/>
      <c r="C1" s="772"/>
      <c r="D1" s="772"/>
      <c r="E1" s="772"/>
    </row>
    <row r="2" spans="1:13" s="532" customFormat="1" ht="54" customHeight="1">
      <c r="A2" s="774" t="s">
        <v>1031</v>
      </c>
      <c r="B2" s="774" t="s">
        <v>929</v>
      </c>
      <c r="C2" s="774" t="s">
        <v>1032</v>
      </c>
      <c r="D2" s="773" t="s">
        <v>1053</v>
      </c>
      <c r="E2" s="773" t="s">
        <v>1052</v>
      </c>
      <c r="F2" s="773"/>
      <c r="G2" s="773"/>
      <c r="H2" s="773"/>
    </row>
    <row r="3" spans="1:13" s="532" customFormat="1" ht="54" customHeight="1">
      <c r="A3" s="774"/>
      <c r="B3" s="774"/>
      <c r="C3" s="774"/>
      <c r="D3" s="773"/>
      <c r="E3" s="534" t="s">
        <v>871</v>
      </c>
      <c r="F3" s="534" t="s">
        <v>1049</v>
      </c>
      <c r="G3" s="534" t="s">
        <v>1050</v>
      </c>
      <c r="H3" s="535" t="s">
        <v>1051</v>
      </c>
    </row>
    <row r="4" spans="1:13" s="532" customFormat="1" ht="29.25" customHeight="1">
      <c r="A4" s="533">
        <v>4</v>
      </c>
      <c r="B4" s="537" t="s">
        <v>989</v>
      </c>
      <c r="C4" s="536">
        <v>354</v>
      </c>
      <c r="D4" s="540"/>
      <c r="E4" s="540">
        <v>87</v>
      </c>
      <c r="F4" s="540">
        <v>207</v>
      </c>
      <c r="G4" s="540">
        <v>122</v>
      </c>
      <c r="H4" s="540">
        <v>82</v>
      </c>
      <c r="I4" s="532">
        <f>SUM(E4:H4)</f>
        <v>498</v>
      </c>
      <c r="J4" s="532">
        <f>C4-I4</f>
        <v>-144</v>
      </c>
      <c r="M4" s="532">
        <v>207</v>
      </c>
    </row>
    <row r="5" spans="1:13" s="532" customFormat="1" ht="29.25" customHeight="1">
      <c r="A5" s="533">
        <v>3</v>
      </c>
      <c r="B5" s="535" t="s">
        <v>992</v>
      </c>
      <c r="C5" s="533">
        <v>316</v>
      </c>
      <c r="D5" s="540"/>
      <c r="E5" s="540">
        <v>99</v>
      </c>
      <c r="F5" s="540">
        <v>98</v>
      </c>
      <c r="G5" s="540">
        <v>99</v>
      </c>
      <c r="H5" s="540">
        <v>29</v>
      </c>
      <c r="I5" s="532">
        <f>SUM(E5:H5)</f>
        <v>325</v>
      </c>
      <c r="J5" s="532">
        <f t="shared" ref="J5:J36" si="0">C5-I5</f>
        <v>-9</v>
      </c>
      <c r="M5" s="532">
        <v>122</v>
      </c>
    </row>
    <row r="6" spans="1:13" s="532" customFormat="1" ht="29.25" customHeight="1">
      <c r="A6" s="533">
        <v>2</v>
      </c>
      <c r="B6" s="535" t="s">
        <v>991</v>
      </c>
      <c r="C6" s="533">
        <v>40</v>
      </c>
      <c r="D6" s="540"/>
      <c r="E6" s="540">
        <v>9</v>
      </c>
      <c r="F6" s="540">
        <v>12</v>
      </c>
      <c r="G6" s="540">
        <v>18</v>
      </c>
      <c r="H6" s="540">
        <v>1</v>
      </c>
      <c r="I6" s="532">
        <f>SUM(E6:H6)</f>
        <v>40</v>
      </c>
      <c r="J6" s="532">
        <f t="shared" si="0"/>
        <v>0</v>
      </c>
      <c r="M6" s="532">
        <v>82</v>
      </c>
    </row>
    <row r="7" spans="1:13" s="532" customFormat="1" ht="29.25" customHeight="1">
      <c r="A7" s="536">
        <v>1</v>
      </c>
      <c r="B7" s="537" t="s">
        <v>990</v>
      </c>
      <c r="C7" s="536">
        <v>49</v>
      </c>
      <c r="D7" s="564"/>
      <c r="E7" s="540">
        <v>4</v>
      </c>
      <c r="F7" s="540">
        <v>10</v>
      </c>
      <c r="G7" s="540">
        <v>24</v>
      </c>
      <c r="H7" s="540">
        <v>11</v>
      </c>
      <c r="I7" s="532">
        <f>SUM(E7:H7)</f>
        <v>49</v>
      </c>
      <c r="J7" s="532">
        <f t="shared" si="0"/>
        <v>0</v>
      </c>
      <c r="M7" s="532">
        <v>87</v>
      </c>
    </row>
    <row r="8" spans="1:13" s="532" customFormat="1" ht="29.25" customHeight="1">
      <c r="A8" s="533">
        <v>5</v>
      </c>
      <c r="B8" s="535" t="s">
        <v>993</v>
      </c>
      <c r="C8" s="533">
        <f>1518+31895</f>
        <v>33413</v>
      </c>
      <c r="D8" s="540"/>
      <c r="E8" s="540">
        <v>8546</v>
      </c>
      <c r="F8" s="540">
        <v>9852</v>
      </c>
      <c r="G8" s="540">
        <v>9136</v>
      </c>
      <c r="H8" s="540">
        <v>6504</v>
      </c>
      <c r="I8" s="532">
        <f t="shared" ref="I8:I36" si="1">SUM(E8:H8)</f>
        <v>34038</v>
      </c>
      <c r="J8" s="532">
        <f t="shared" si="0"/>
        <v>-625</v>
      </c>
      <c r="M8" s="532">
        <f>SUM(M4:M7)</f>
        <v>498</v>
      </c>
    </row>
    <row r="9" spans="1:13" s="532" customFormat="1" ht="29.25" customHeight="1">
      <c r="A9" s="533">
        <v>7</v>
      </c>
      <c r="B9" s="535" t="s">
        <v>996</v>
      </c>
      <c r="C9" s="550">
        <f>2656.5+10365.8</f>
        <v>13022.3</v>
      </c>
      <c r="D9" s="540"/>
      <c r="E9" s="540">
        <v>3344.6</v>
      </c>
      <c r="F9" s="540">
        <v>4133.8500000000004</v>
      </c>
      <c r="G9" s="535">
        <v>3718.75</v>
      </c>
      <c r="H9" s="535">
        <v>2464.35</v>
      </c>
      <c r="I9" s="532">
        <f t="shared" si="1"/>
        <v>13661.550000000001</v>
      </c>
      <c r="J9" s="532">
        <f t="shared" si="0"/>
        <v>-639.25000000000182</v>
      </c>
    </row>
    <row r="10" spans="1:13" s="532" customFormat="1" ht="29.25" customHeight="1">
      <c r="A10" s="533">
        <v>6</v>
      </c>
      <c r="B10" s="535" t="s">
        <v>995</v>
      </c>
      <c r="C10" s="533">
        <v>759</v>
      </c>
      <c r="D10" s="540"/>
      <c r="E10" s="540">
        <v>199</v>
      </c>
      <c r="F10" s="540">
        <v>327</v>
      </c>
      <c r="G10" s="540">
        <v>262</v>
      </c>
      <c r="H10" s="540">
        <v>123</v>
      </c>
      <c r="I10" s="532">
        <f t="shared" si="1"/>
        <v>911</v>
      </c>
      <c r="J10" s="532">
        <f t="shared" si="0"/>
        <v>-152</v>
      </c>
    </row>
    <row r="11" spans="1:13" s="532" customFormat="1" ht="29.25" customHeight="1">
      <c r="A11" s="533">
        <v>8</v>
      </c>
      <c r="B11" s="535" t="s">
        <v>997</v>
      </c>
      <c r="C11" s="550">
        <f>1821.6+12986</f>
        <v>14807.6</v>
      </c>
      <c r="D11" s="540"/>
      <c r="E11" s="540">
        <v>3794.6</v>
      </c>
      <c r="F11" s="540">
        <v>4529.8</v>
      </c>
      <c r="G11" s="540">
        <v>4137.2</v>
      </c>
      <c r="H11" s="540">
        <v>2843.2</v>
      </c>
      <c r="I11" s="532">
        <f t="shared" si="1"/>
        <v>15304.8</v>
      </c>
      <c r="J11" s="532">
        <f t="shared" si="0"/>
        <v>-497.19999999999891</v>
      </c>
    </row>
    <row r="12" spans="1:13" s="532" customFormat="1" ht="29.25" customHeight="1">
      <c r="A12" s="533">
        <v>9</v>
      </c>
      <c r="B12" s="535" t="s">
        <v>999</v>
      </c>
      <c r="C12" s="533">
        <f>4544+84293</f>
        <v>88837</v>
      </c>
      <c r="D12" s="540"/>
      <c r="E12" s="540">
        <v>22728</v>
      </c>
      <c r="F12" s="540">
        <v>2627.1</v>
      </c>
      <c r="G12" s="540">
        <v>24333</v>
      </c>
      <c r="H12" s="540">
        <v>17277</v>
      </c>
      <c r="I12" s="532">
        <f t="shared" si="1"/>
        <v>66965.100000000006</v>
      </c>
      <c r="J12" s="532">
        <f t="shared" si="0"/>
        <v>21871.899999999994</v>
      </c>
    </row>
    <row r="13" spans="1:13" s="532" customFormat="1" ht="29.25" customHeight="1">
      <c r="A13" s="533">
        <v>10</v>
      </c>
      <c r="B13" s="535" t="s">
        <v>1000</v>
      </c>
      <c r="C13" s="533">
        <f>2277+22782</f>
        <v>25059</v>
      </c>
      <c r="D13" s="535"/>
      <c r="E13" s="535">
        <v>6417</v>
      </c>
      <c r="F13" s="535">
        <v>7551</v>
      </c>
      <c r="G13" s="540">
        <v>6939</v>
      </c>
      <c r="H13" s="540">
        <v>4839</v>
      </c>
      <c r="I13" s="532">
        <f t="shared" si="1"/>
        <v>25746</v>
      </c>
      <c r="J13" s="532">
        <f t="shared" si="0"/>
        <v>-687</v>
      </c>
    </row>
    <row r="14" spans="1:13" s="532" customFormat="1" ht="29.25" customHeight="1">
      <c r="A14" s="533">
        <v>11</v>
      </c>
      <c r="B14" s="535" t="s">
        <v>1001</v>
      </c>
      <c r="C14" s="533">
        <v>759</v>
      </c>
      <c r="D14" s="540"/>
      <c r="E14" s="540">
        <v>199</v>
      </c>
      <c r="F14" s="540">
        <v>327</v>
      </c>
      <c r="G14" s="540">
        <v>263</v>
      </c>
      <c r="H14" s="540">
        <v>123</v>
      </c>
      <c r="I14" s="532">
        <f t="shared" si="1"/>
        <v>912</v>
      </c>
      <c r="J14" s="532">
        <f t="shared" si="0"/>
        <v>-153</v>
      </c>
    </row>
    <row r="15" spans="1:13" s="532" customFormat="1" ht="29.25" customHeight="1">
      <c r="A15" s="533">
        <v>12</v>
      </c>
      <c r="B15" s="535" t="s">
        <v>1003</v>
      </c>
      <c r="C15" s="533">
        <v>759</v>
      </c>
      <c r="D15" s="540"/>
      <c r="E15" s="540">
        <v>199</v>
      </c>
      <c r="F15" s="540">
        <v>327</v>
      </c>
      <c r="G15" s="540">
        <v>263</v>
      </c>
      <c r="H15" s="540">
        <v>123</v>
      </c>
      <c r="I15" s="532">
        <f t="shared" si="1"/>
        <v>912</v>
      </c>
      <c r="J15" s="532">
        <f t="shared" si="0"/>
        <v>-153</v>
      </c>
    </row>
    <row r="16" spans="1:13" s="532" customFormat="1" ht="29.25" customHeight="1">
      <c r="A16" s="533">
        <v>14</v>
      </c>
      <c r="B16" s="535" t="s">
        <v>1033</v>
      </c>
      <c r="C16" s="533">
        <v>1372</v>
      </c>
      <c r="D16" s="540"/>
      <c r="E16" s="540">
        <v>112</v>
      </c>
      <c r="F16" s="540">
        <v>280</v>
      </c>
      <c r="G16" s="540">
        <v>672</v>
      </c>
      <c r="H16" s="540">
        <v>308</v>
      </c>
      <c r="I16" s="532">
        <f t="shared" si="1"/>
        <v>1372</v>
      </c>
      <c r="J16" s="532">
        <f t="shared" si="0"/>
        <v>0</v>
      </c>
    </row>
    <row r="17" spans="1:10" s="532" customFormat="1" ht="29.25" customHeight="1">
      <c r="A17" s="533">
        <v>15</v>
      </c>
      <c r="B17" s="535" t="s">
        <v>1042</v>
      </c>
      <c r="C17" s="533">
        <v>1120</v>
      </c>
      <c r="D17" s="540"/>
      <c r="E17" s="540">
        <v>252</v>
      </c>
      <c r="F17" s="540">
        <v>336</v>
      </c>
      <c r="G17" s="540">
        <v>504</v>
      </c>
      <c r="H17" s="540">
        <v>28</v>
      </c>
      <c r="I17" s="532">
        <f t="shared" si="1"/>
        <v>1120</v>
      </c>
      <c r="J17" s="532">
        <f t="shared" si="0"/>
        <v>0</v>
      </c>
    </row>
    <row r="18" spans="1:10" s="532" customFormat="1" ht="29.25" customHeight="1">
      <c r="A18" s="533">
        <v>16</v>
      </c>
      <c r="B18" s="535" t="s">
        <v>1034</v>
      </c>
      <c r="C18" s="533">
        <v>64840</v>
      </c>
      <c r="D18" s="540"/>
      <c r="E18" s="540">
        <v>16848</v>
      </c>
      <c r="F18" s="540">
        <v>28040</v>
      </c>
      <c r="G18" s="540">
        <v>22328</v>
      </c>
      <c r="H18" s="540">
        <v>11088</v>
      </c>
      <c r="I18" s="532">
        <f t="shared" si="1"/>
        <v>78304</v>
      </c>
      <c r="J18" s="532">
        <f t="shared" si="0"/>
        <v>-13464</v>
      </c>
    </row>
    <row r="19" spans="1:10" s="532" customFormat="1" ht="29.25" customHeight="1">
      <c r="A19" s="533">
        <v>17</v>
      </c>
      <c r="B19" s="535" t="s">
        <v>1035</v>
      </c>
      <c r="C19" s="533">
        <v>4800</v>
      </c>
      <c r="D19" s="540"/>
      <c r="E19" s="540">
        <v>1080</v>
      </c>
      <c r="F19" s="540">
        <v>1440</v>
      </c>
      <c r="G19" s="540">
        <v>2160</v>
      </c>
      <c r="H19" s="540">
        <v>120</v>
      </c>
      <c r="I19" s="532">
        <f t="shared" si="1"/>
        <v>4800</v>
      </c>
      <c r="J19" s="532">
        <f t="shared" si="0"/>
        <v>0</v>
      </c>
    </row>
    <row r="20" spans="1:10" s="532" customFormat="1" ht="29.25" customHeight="1">
      <c r="A20" s="533">
        <v>18</v>
      </c>
      <c r="B20" s="539" t="s">
        <v>1005</v>
      </c>
      <c r="C20" s="533">
        <v>49</v>
      </c>
      <c r="D20" s="540"/>
      <c r="E20" s="540">
        <v>4</v>
      </c>
      <c r="F20" s="540">
        <v>10</v>
      </c>
      <c r="G20" s="540">
        <v>24</v>
      </c>
      <c r="H20" s="540">
        <v>11</v>
      </c>
      <c r="I20" s="532">
        <f t="shared" si="1"/>
        <v>49</v>
      </c>
      <c r="J20" s="532">
        <f t="shared" si="0"/>
        <v>0</v>
      </c>
    </row>
    <row r="21" spans="1:10" s="532" customFormat="1" ht="29.25" customHeight="1">
      <c r="A21" s="533">
        <v>19</v>
      </c>
      <c r="B21" s="539" t="s">
        <v>1006</v>
      </c>
      <c r="C21" s="533">
        <v>40</v>
      </c>
      <c r="D21" s="540"/>
      <c r="E21" s="540">
        <v>9</v>
      </c>
      <c r="F21" s="540">
        <v>12</v>
      </c>
      <c r="G21" s="540">
        <v>18</v>
      </c>
      <c r="H21" s="540">
        <v>1</v>
      </c>
      <c r="I21" s="532">
        <f t="shared" si="1"/>
        <v>40</v>
      </c>
      <c r="J21" s="532">
        <f t="shared" si="0"/>
        <v>0</v>
      </c>
    </row>
    <row r="22" spans="1:10" s="532" customFormat="1" ht="29.25" customHeight="1">
      <c r="A22" s="533">
        <v>20</v>
      </c>
      <c r="B22" s="539" t="s">
        <v>1007</v>
      </c>
      <c r="C22" s="533">
        <v>670</v>
      </c>
      <c r="D22" s="540"/>
      <c r="E22" s="540">
        <v>186</v>
      </c>
      <c r="F22" s="540">
        <v>305</v>
      </c>
      <c r="G22" s="540">
        <v>221</v>
      </c>
      <c r="H22" s="540">
        <v>111</v>
      </c>
      <c r="I22" s="532">
        <f t="shared" si="1"/>
        <v>823</v>
      </c>
      <c r="J22" s="532">
        <f t="shared" si="0"/>
        <v>-153</v>
      </c>
    </row>
    <row r="23" spans="1:10" s="532" customFormat="1" ht="29.25" customHeight="1">
      <c r="A23" s="533">
        <v>21</v>
      </c>
      <c r="B23" s="535" t="s">
        <v>1016</v>
      </c>
      <c r="C23" s="533">
        <v>2277</v>
      </c>
      <c r="D23" s="540"/>
      <c r="E23" s="540">
        <v>597</v>
      </c>
      <c r="F23" s="540">
        <v>981</v>
      </c>
      <c r="G23" s="540">
        <v>789</v>
      </c>
      <c r="H23" s="540">
        <v>369</v>
      </c>
      <c r="I23" s="532">
        <f t="shared" si="1"/>
        <v>2736</v>
      </c>
      <c r="J23" s="532">
        <f t="shared" si="0"/>
        <v>-459</v>
      </c>
    </row>
    <row r="24" spans="1:10" s="532" customFormat="1" ht="29.25" customHeight="1">
      <c r="A24" s="533">
        <v>25</v>
      </c>
      <c r="B24" s="535" t="s">
        <v>1037</v>
      </c>
      <c r="C24" s="533">
        <v>392</v>
      </c>
      <c r="D24" s="540"/>
      <c r="E24" s="540">
        <v>32</v>
      </c>
      <c r="F24" s="540">
        <v>80</v>
      </c>
      <c r="G24" s="540">
        <v>192</v>
      </c>
      <c r="H24" s="540">
        <v>88</v>
      </c>
      <c r="I24" s="532">
        <f t="shared" si="1"/>
        <v>392</v>
      </c>
      <c r="J24" s="532">
        <f t="shared" si="0"/>
        <v>0</v>
      </c>
    </row>
    <row r="25" spans="1:10" s="532" customFormat="1" ht="29.25" customHeight="1">
      <c r="A25" s="533">
        <v>26</v>
      </c>
      <c r="B25" s="535" t="s">
        <v>1044</v>
      </c>
      <c r="C25" s="533">
        <v>320</v>
      </c>
      <c r="D25" s="540"/>
      <c r="E25" s="540">
        <v>72</v>
      </c>
      <c r="F25" s="540">
        <v>96</v>
      </c>
      <c r="G25" s="540">
        <v>144</v>
      </c>
      <c r="H25" s="540">
        <v>8</v>
      </c>
      <c r="I25" s="532">
        <f t="shared" si="1"/>
        <v>320</v>
      </c>
      <c r="J25" s="532">
        <f t="shared" si="0"/>
        <v>0</v>
      </c>
    </row>
    <row r="26" spans="1:10" s="532" customFormat="1" ht="29.25" customHeight="1">
      <c r="A26" s="533">
        <v>27</v>
      </c>
      <c r="B26" s="535" t="s">
        <v>1038</v>
      </c>
      <c r="C26" s="533">
        <v>11504</v>
      </c>
      <c r="D26" s="540"/>
      <c r="E26" s="540">
        <v>3040</v>
      </c>
      <c r="F26" s="540">
        <v>5040</v>
      </c>
      <c r="G26" s="540">
        <v>3920</v>
      </c>
      <c r="H26" s="540">
        <v>1952</v>
      </c>
      <c r="I26" s="532">
        <f t="shared" si="1"/>
        <v>13952</v>
      </c>
      <c r="J26" s="532">
        <f t="shared" si="0"/>
        <v>-2448</v>
      </c>
    </row>
    <row r="27" spans="1:10" s="532" customFormat="1" ht="29.25" customHeight="1">
      <c r="A27" s="533">
        <v>28</v>
      </c>
      <c r="B27" s="535" t="s">
        <v>1039</v>
      </c>
      <c r="C27" s="533">
        <v>640</v>
      </c>
      <c r="D27" s="540"/>
      <c r="E27" s="540">
        <v>144</v>
      </c>
      <c r="F27" s="540">
        <v>192</v>
      </c>
      <c r="G27" s="540">
        <v>288</v>
      </c>
      <c r="H27" s="540">
        <v>16</v>
      </c>
      <c r="I27" s="532">
        <f t="shared" si="1"/>
        <v>640</v>
      </c>
      <c r="J27" s="532">
        <f t="shared" si="0"/>
        <v>0</v>
      </c>
    </row>
    <row r="28" spans="1:10" s="532" customFormat="1" ht="29.25" customHeight="1">
      <c r="A28" s="533">
        <v>13</v>
      </c>
      <c r="B28" s="535" t="s">
        <v>1004</v>
      </c>
      <c r="C28" s="533">
        <v>2277</v>
      </c>
      <c r="D28" s="540"/>
      <c r="E28" s="540">
        <v>597</v>
      </c>
      <c r="F28" s="540">
        <v>981</v>
      </c>
      <c r="G28" s="540">
        <v>789</v>
      </c>
      <c r="H28" s="540">
        <v>369</v>
      </c>
      <c r="I28" s="532">
        <f t="shared" si="1"/>
        <v>2736</v>
      </c>
      <c r="J28" s="532">
        <f t="shared" si="0"/>
        <v>-459</v>
      </c>
    </row>
    <row r="29" spans="1:10" s="532" customFormat="1" ht="29.25" customHeight="1">
      <c r="A29" s="533">
        <v>29</v>
      </c>
      <c r="B29" s="535" t="s">
        <v>1010</v>
      </c>
      <c r="C29" s="533">
        <f>2277+22782</f>
        <v>25059</v>
      </c>
      <c r="D29" s="540"/>
      <c r="E29" s="540">
        <v>6417</v>
      </c>
      <c r="F29" s="540">
        <v>7551</v>
      </c>
      <c r="G29" s="540">
        <v>6939</v>
      </c>
      <c r="H29" s="540">
        <v>4839</v>
      </c>
      <c r="I29" s="532">
        <f t="shared" si="1"/>
        <v>25746</v>
      </c>
      <c r="J29" s="532">
        <f t="shared" si="0"/>
        <v>-687</v>
      </c>
    </row>
    <row r="30" spans="1:10" s="532" customFormat="1" ht="29.25" customHeight="1">
      <c r="A30" s="533">
        <v>30</v>
      </c>
      <c r="B30" s="535" t="s">
        <v>1040</v>
      </c>
      <c r="C30" s="533">
        <f>4544+22782</f>
        <v>27326</v>
      </c>
      <c r="D30" s="540"/>
      <c r="E30" s="540">
        <v>7014</v>
      </c>
      <c r="F30" s="540">
        <v>8532</v>
      </c>
      <c r="G30" s="540">
        <v>7728</v>
      </c>
      <c r="H30" s="540">
        <v>5208</v>
      </c>
      <c r="I30" s="532">
        <f t="shared" si="1"/>
        <v>28482</v>
      </c>
      <c r="J30" s="532">
        <f t="shared" si="0"/>
        <v>-1156</v>
      </c>
    </row>
    <row r="31" spans="1:10" s="532" customFormat="1" ht="29.25" customHeight="1">
      <c r="A31" s="533">
        <v>31</v>
      </c>
      <c r="B31" s="535" t="s">
        <v>1041</v>
      </c>
      <c r="C31" s="533">
        <v>1467</v>
      </c>
      <c r="D31" s="540"/>
      <c r="E31" s="540">
        <v>375</v>
      </c>
      <c r="F31" s="540">
        <v>423</v>
      </c>
      <c r="G31" s="540">
        <v>396</v>
      </c>
      <c r="H31" s="540">
        <v>288</v>
      </c>
      <c r="I31" s="532">
        <f t="shared" si="1"/>
        <v>1482</v>
      </c>
      <c r="J31" s="532">
        <f t="shared" si="0"/>
        <v>-15</v>
      </c>
    </row>
    <row r="32" spans="1:10" s="532" customFormat="1" ht="29.25" customHeight="1">
      <c r="A32" s="533">
        <v>32</v>
      </c>
      <c r="B32" s="535" t="s">
        <v>1012</v>
      </c>
      <c r="C32" s="533">
        <v>22770</v>
      </c>
      <c r="D32" s="540"/>
      <c r="E32" s="540">
        <v>5970</v>
      </c>
      <c r="F32" s="540">
        <v>9810</v>
      </c>
      <c r="G32" s="540">
        <v>7890</v>
      </c>
      <c r="H32" s="540">
        <v>3690</v>
      </c>
      <c r="I32" s="532">
        <f t="shared" si="1"/>
        <v>27360</v>
      </c>
      <c r="J32" s="532">
        <f t="shared" si="0"/>
        <v>-4590</v>
      </c>
    </row>
    <row r="33" spans="1:10" s="532" customFormat="1" ht="29.25" customHeight="1">
      <c r="A33" s="533">
        <v>22</v>
      </c>
      <c r="B33" s="535" t="s">
        <v>1008</v>
      </c>
      <c r="C33" s="533">
        <f>1518+13669</f>
        <v>15187</v>
      </c>
      <c r="D33" s="540"/>
      <c r="E33" s="540">
        <v>3890</v>
      </c>
      <c r="F33" s="540">
        <v>4596</v>
      </c>
      <c r="G33" s="540">
        <v>4216</v>
      </c>
      <c r="H33" s="540">
        <v>2928</v>
      </c>
      <c r="I33" s="532">
        <f t="shared" si="1"/>
        <v>15630</v>
      </c>
      <c r="J33" s="532">
        <f t="shared" si="0"/>
        <v>-443</v>
      </c>
    </row>
    <row r="34" spans="1:10" s="532" customFormat="1" ht="29.25" customHeight="1">
      <c r="A34" s="533">
        <v>23</v>
      </c>
      <c r="B34" s="535" t="s">
        <v>1036</v>
      </c>
      <c r="C34" s="533">
        <f>68346+7590</f>
        <v>75936</v>
      </c>
      <c r="D34" s="540"/>
      <c r="E34" s="540">
        <v>19450</v>
      </c>
      <c r="F34" s="540">
        <v>22980</v>
      </c>
      <c r="G34" s="540">
        <v>21080</v>
      </c>
      <c r="H34" s="540">
        <v>14640</v>
      </c>
      <c r="I34" s="532">
        <f t="shared" si="1"/>
        <v>78150</v>
      </c>
      <c r="J34" s="532">
        <f t="shared" si="0"/>
        <v>-2214</v>
      </c>
    </row>
    <row r="35" spans="1:10" s="532" customFormat="1" ht="29.25" customHeight="1">
      <c r="A35" s="533">
        <v>24</v>
      </c>
      <c r="B35" s="535" t="s">
        <v>1009</v>
      </c>
      <c r="C35" s="533">
        <f>1518+13669</f>
        <v>15187</v>
      </c>
      <c r="D35" s="540"/>
      <c r="E35" s="540">
        <v>3890</v>
      </c>
      <c r="F35" s="540">
        <v>4596</v>
      </c>
      <c r="G35" s="540">
        <v>4216</v>
      </c>
      <c r="H35" s="540">
        <v>2928</v>
      </c>
      <c r="I35" s="532">
        <f t="shared" si="1"/>
        <v>15630</v>
      </c>
      <c r="J35" s="532">
        <f t="shared" si="0"/>
        <v>-443</v>
      </c>
    </row>
    <row r="36" spans="1:10" s="532" customFormat="1" ht="29.25" customHeight="1">
      <c r="A36" s="533">
        <v>33</v>
      </c>
      <c r="B36" s="535" t="s">
        <v>1014</v>
      </c>
      <c r="C36" s="533">
        <v>18985</v>
      </c>
      <c r="D36" s="540"/>
      <c r="E36" s="540">
        <v>4829</v>
      </c>
      <c r="F36" s="540">
        <v>5475</v>
      </c>
      <c r="G36" s="540">
        <v>5125</v>
      </c>
      <c r="H36" s="540">
        <v>3725</v>
      </c>
      <c r="I36" s="532">
        <f t="shared" si="1"/>
        <v>19154</v>
      </c>
      <c r="J36" s="532">
        <f t="shared" si="0"/>
        <v>-169</v>
      </c>
    </row>
    <row r="37" spans="1:10" s="532" customFormat="1" ht="22.5">
      <c r="C37" s="543"/>
    </row>
    <row r="38" spans="1:10" s="532" customFormat="1" ht="22.5">
      <c r="C38" s="543"/>
    </row>
    <row r="39" spans="1:10" s="532" customFormat="1" ht="22.5">
      <c r="C39" s="543"/>
    </row>
    <row r="40" spans="1:10" s="532" customFormat="1" ht="22.5">
      <c r="C40" s="543"/>
    </row>
    <row r="41" spans="1:10" s="532" customFormat="1" ht="22.5">
      <c r="C41" s="543"/>
    </row>
    <row r="42" spans="1:10" s="532" customFormat="1" ht="22.5">
      <c r="C42" s="543"/>
    </row>
    <row r="43" spans="1:10" s="532" customFormat="1" ht="22.5">
      <c r="C43" s="543"/>
    </row>
    <row r="44" spans="1:10" s="532" customFormat="1" ht="22.5">
      <c r="C44" s="543"/>
    </row>
    <row r="45" spans="1:10" s="532" customFormat="1" ht="22.5">
      <c r="C45" s="543"/>
    </row>
    <row r="46" spans="1:10" s="532" customFormat="1" ht="22.5">
      <c r="C46" s="543"/>
    </row>
    <row r="47" spans="1:10" s="532" customFormat="1" ht="22.5">
      <c r="C47" s="543"/>
    </row>
    <row r="48" spans="1:10" s="532" customFormat="1" ht="22.5">
      <c r="C48" s="543"/>
    </row>
    <row r="49" spans="1:9" s="532" customFormat="1" ht="22.5">
      <c r="C49" s="543"/>
    </row>
    <row r="50" spans="1:9" s="532" customFormat="1" ht="22.5">
      <c r="C50" s="543"/>
    </row>
    <row r="51" spans="1:9" s="532" customFormat="1" ht="22.5">
      <c r="C51" s="543"/>
    </row>
    <row r="52" spans="1:9" s="532" customFormat="1" ht="22.5">
      <c r="C52" s="543"/>
    </row>
    <row r="53" spans="1:9" s="532" customFormat="1" ht="22.5">
      <c r="C53" s="543"/>
    </row>
    <row r="54" spans="1:9" s="532" customFormat="1" ht="22.5">
      <c r="C54" s="543"/>
    </row>
    <row r="55" spans="1:9" s="532" customFormat="1" ht="22.5">
      <c r="C55" s="543"/>
      <c r="G55" s="544"/>
      <c r="H55" s="544"/>
      <c r="I55" s="544"/>
    </row>
    <row r="56" spans="1:9" s="532" customFormat="1" ht="22.5">
      <c r="C56" s="543"/>
      <c r="G56" s="545"/>
      <c r="H56" s="545"/>
      <c r="I56" s="545"/>
    </row>
    <row r="57" spans="1:9" s="532" customFormat="1" ht="22.5">
      <c r="C57" s="543"/>
      <c r="G57" s="546"/>
      <c r="H57" s="546"/>
      <c r="I57" s="546"/>
    </row>
    <row r="58" spans="1:9" s="532" customFormat="1" ht="22.5">
      <c r="C58" s="543"/>
      <c r="G58" s="546"/>
      <c r="H58" s="546"/>
      <c r="I58" s="546"/>
    </row>
    <row r="59" spans="1:9" s="532" customFormat="1" ht="22.5">
      <c r="C59" s="543"/>
      <c r="D59" s="544"/>
      <c r="E59" s="544"/>
      <c r="F59" s="544"/>
      <c r="G59" s="546"/>
      <c r="H59" s="546"/>
      <c r="I59" s="546"/>
    </row>
    <row r="60" spans="1:9" s="532" customFormat="1" ht="22.5">
      <c r="C60" s="543"/>
      <c r="D60" s="545"/>
      <c r="E60" s="545"/>
      <c r="F60" s="545"/>
      <c r="G60" s="546"/>
      <c r="H60" s="546"/>
      <c r="I60" s="546"/>
    </row>
    <row r="61" spans="1:9" ht="22.5">
      <c r="A61" s="771" t="s">
        <v>1022</v>
      </c>
      <c r="B61" s="771"/>
      <c r="C61" s="771"/>
      <c r="D61" s="546"/>
      <c r="E61" s="546"/>
      <c r="F61" s="546"/>
    </row>
    <row r="62" spans="1:9" s="545" customFormat="1" ht="22.5">
      <c r="A62" s="533" t="s">
        <v>1</v>
      </c>
      <c r="B62" s="533" t="s">
        <v>988</v>
      </c>
      <c r="C62" s="533"/>
      <c r="D62" s="546"/>
      <c r="E62" s="546"/>
      <c r="F62" s="546"/>
      <c r="G62" s="544"/>
      <c r="H62" s="544"/>
      <c r="I62" s="544"/>
    </row>
    <row r="63" spans="1:9" s="546" customFormat="1" ht="22.5">
      <c r="A63" s="533">
        <v>1</v>
      </c>
      <c r="B63" s="535" t="s">
        <v>990</v>
      </c>
      <c r="C63" s="533"/>
      <c r="G63" s="544"/>
      <c r="H63" s="544"/>
      <c r="I63" s="544"/>
    </row>
    <row r="64" spans="1:9" s="546" customFormat="1" ht="22.5">
      <c r="A64" s="533">
        <v>2</v>
      </c>
      <c r="B64" s="535" t="s">
        <v>991</v>
      </c>
      <c r="C64" s="533"/>
      <c r="G64" s="544"/>
      <c r="H64" s="544"/>
      <c r="I64" s="544"/>
    </row>
    <row r="65" spans="1:9" s="546" customFormat="1" ht="22.5">
      <c r="A65" s="533">
        <v>3</v>
      </c>
      <c r="B65" s="535" t="s">
        <v>992</v>
      </c>
      <c r="C65" s="533"/>
      <c r="D65" s="544"/>
      <c r="E65" s="544"/>
      <c r="F65" s="544"/>
      <c r="G65" s="544"/>
      <c r="H65" s="544"/>
      <c r="I65" s="544"/>
    </row>
    <row r="66" spans="1:9" s="546" customFormat="1" ht="22.5">
      <c r="A66" s="533">
        <v>4</v>
      </c>
      <c r="B66" s="535" t="s">
        <v>993</v>
      </c>
      <c r="C66" s="533"/>
      <c r="D66" s="544"/>
      <c r="E66" s="544"/>
      <c r="F66" s="544"/>
      <c r="G66" s="544"/>
      <c r="H66" s="544"/>
      <c r="I66" s="544"/>
    </row>
    <row r="67" spans="1:9" ht="22.5">
      <c r="A67" s="533">
        <v>5</v>
      </c>
      <c r="B67" s="535" t="s">
        <v>994</v>
      </c>
      <c r="C67" s="533"/>
    </row>
    <row r="68" spans="1:9" ht="22.5">
      <c r="A68" s="533">
        <v>6</v>
      </c>
      <c r="B68" s="538" t="s">
        <v>995</v>
      </c>
      <c r="C68" s="533"/>
    </row>
    <row r="69" spans="1:9" ht="22.5">
      <c r="A69" s="533">
        <v>7</v>
      </c>
      <c r="B69" s="535" t="s">
        <v>996</v>
      </c>
      <c r="C69" s="533"/>
    </row>
    <row r="70" spans="1:9" ht="22.5">
      <c r="A70" s="533">
        <v>8</v>
      </c>
      <c r="B70" s="535" t="s">
        <v>997</v>
      </c>
      <c r="C70" s="533"/>
    </row>
    <row r="71" spans="1:9" ht="22.5">
      <c r="A71" s="533">
        <v>9</v>
      </c>
      <c r="B71" s="538" t="s">
        <v>998</v>
      </c>
      <c r="C71" s="533"/>
    </row>
    <row r="72" spans="1:9" ht="22.5">
      <c r="A72" s="533">
        <v>10</v>
      </c>
      <c r="B72" s="535" t="s">
        <v>999</v>
      </c>
      <c r="C72" s="533"/>
    </row>
    <row r="73" spans="1:9" ht="22.5">
      <c r="A73" s="533">
        <v>11</v>
      </c>
      <c r="B73" s="535" t="s">
        <v>1000</v>
      </c>
      <c r="C73" s="533"/>
    </row>
    <row r="74" spans="1:9" ht="22.5">
      <c r="A74" s="533">
        <v>12</v>
      </c>
      <c r="B74" s="535" t="s">
        <v>1001</v>
      </c>
      <c r="C74" s="533"/>
    </row>
    <row r="75" spans="1:9" ht="22.5">
      <c r="A75" s="533">
        <v>13</v>
      </c>
      <c r="B75" s="542" t="s">
        <v>1002</v>
      </c>
      <c r="C75" s="533"/>
    </row>
    <row r="76" spans="1:9" ht="22.5">
      <c r="A76" s="533">
        <v>14</v>
      </c>
      <c r="B76" s="535" t="s">
        <v>1003</v>
      </c>
      <c r="C76" s="533"/>
    </row>
    <row r="77" spans="1:9" ht="22.5">
      <c r="A77" s="533">
        <v>15</v>
      </c>
      <c r="B77" s="535" t="s">
        <v>1004</v>
      </c>
      <c r="C77" s="533"/>
    </row>
    <row r="78" spans="1:9" ht="24.75">
      <c r="A78" s="533">
        <v>16</v>
      </c>
      <c r="B78" s="535" t="s">
        <v>1033</v>
      </c>
      <c r="C78" s="533"/>
    </row>
    <row r="79" spans="1:9" ht="24.75">
      <c r="A79" s="533">
        <v>17</v>
      </c>
      <c r="B79" s="535" t="s">
        <v>1042</v>
      </c>
      <c r="C79" s="533"/>
    </row>
    <row r="80" spans="1:9" ht="24.75">
      <c r="A80" s="533">
        <v>18</v>
      </c>
      <c r="B80" s="535" t="s">
        <v>1034</v>
      </c>
      <c r="C80" s="533"/>
    </row>
    <row r="81" spans="1:3" ht="24.75">
      <c r="A81" s="533">
        <v>19</v>
      </c>
      <c r="B81" s="535" t="s">
        <v>1035</v>
      </c>
      <c r="C81" s="533"/>
    </row>
    <row r="82" spans="1:3" ht="22.5">
      <c r="A82" s="533">
        <v>20</v>
      </c>
      <c r="B82" s="539" t="s">
        <v>1005</v>
      </c>
      <c r="C82" s="533"/>
    </row>
    <row r="83" spans="1:3" ht="22.5">
      <c r="A83" s="533">
        <v>21</v>
      </c>
      <c r="B83" s="539" t="s">
        <v>1023</v>
      </c>
      <c r="C83" s="533"/>
    </row>
    <row r="84" spans="1:3" ht="22.5">
      <c r="A84" s="533">
        <v>22</v>
      </c>
      <c r="B84" s="539" t="s">
        <v>1007</v>
      </c>
      <c r="C84" s="533"/>
    </row>
    <row r="85" spans="1:3" ht="22.5">
      <c r="A85" s="533">
        <v>23</v>
      </c>
      <c r="B85" s="535" t="s">
        <v>1008</v>
      </c>
      <c r="C85" s="533"/>
    </row>
    <row r="86" spans="1:3" ht="24.75">
      <c r="A86" s="533">
        <v>24</v>
      </c>
      <c r="B86" s="535" t="s">
        <v>1036</v>
      </c>
      <c r="C86" s="533"/>
    </row>
    <row r="87" spans="1:3" ht="24.75">
      <c r="A87" s="533">
        <v>25</v>
      </c>
      <c r="B87" s="535" t="s">
        <v>1043</v>
      </c>
      <c r="C87" s="533"/>
    </row>
    <row r="88" spans="1:3" ht="22.5">
      <c r="A88" s="533">
        <v>26</v>
      </c>
      <c r="B88" s="535" t="s">
        <v>1009</v>
      </c>
      <c r="C88" s="533"/>
    </row>
    <row r="89" spans="1:3" ht="24.75">
      <c r="A89" s="533">
        <v>27</v>
      </c>
      <c r="B89" s="535" t="s">
        <v>1037</v>
      </c>
      <c r="C89" s="533"/>
    </row>
    <row r="90" spans="1:3" ht="24.75">
      <c r="A90" s="533">
        <v>28</v>
      </c>
      <c r="B90" s="535" t="s">
        <v>1044</v>
      </c>
      <c r="C90" s="533"/>
    </row>
    <row r="91" spans="1:3" ht="24.75">
      <c r="A91" s="533">
        <v>29</v>
      </c>
      <c r="B91" s="535" t="s">
        <v>1038</v>
      </c>
      <c r="C91" s="533"/>
    </row>
    <row r="92" spans="1:3" ht="24.75">
      <c r="A92" s="533">
        <v>30</v>
      </c>
      <c r="B92" s="535" t="s">
        <v>1039</v>
      </c>
      <c r="C92" s="533"/>
    </row>
    <row r="93" spans="1:3" ht="22.5">
      <c r="A93" s="533">
        <v>31</v>
      </c>
      <c r="B93" s="535" t="s">
        <v>1010</v>
      </c>
      <c r="C93" s="533"/>
    </row>
    <row r="94" spans="1:3" ht="22.5">
      <c r="A94" s="533">
        <v>32</v>
      </c>
      <c r="B94" s="535" t="s">
        <v>1011</v>
      </c>
      <c r="C94" s="533"/>
    </row>
    <row r="95" spans="1:3" ht="24.75">
      <c r="A95" s="533">
        <v>33</v>
      </c>
      <c r="B95" s="535" t="s">
        <v>1040</v>
      </c>
      <c r="C95" s="533"/>
    </row>
    <row r="96" spans="1:3" ht="24.75">
      <c r="A96" s="533">
        <v>34</v>
      </c>
      <c r="B96" s="535" t="s">
        <v>1041</v>
      </c>
      <c r="C96" s="533"/>
    </row>
    <row r="97" spans="1:9" ht="22.5">
      <c r="A97" s="533">
        <v>35</v>
      </c>
      <c r="B97" s="535" t="s">
        <v>1012</v>
      </c>
      <c r="C97" s="533"/>
    </row>
    <row r="98" spans="1:9" ht="22.5">
      <c r="A98" s="533">
        <v>36</v>
      </c>
      <c r="B98" s="535" t="s">
        <v>1024</v>
      </c>
      <c r="C98" s="533"/>
    </row>
    <row r="99" spans="1:9" ht="22.5">
      <c r="A99" s="533">
        <v>37</v>
      </c>
      <c r="B99" s="535" t="s">
        <v>1013</v>
      </c>
      <c r="C99" s="533"/>
    </row>
    <row r="100" spans="1:9" ht="22.5">
      <c r="A100" s="533">
        <v>38</v>
      </c>
      <c r="B100" s="535" t="s">
        <v>1014</v>
      </c>
      <c r="C100" s="533"/>
    </row>
    <row r="101" spans="1:9" ht="22.5">
      <c r="A101" s="533">
        <v>39</v>
      </c>
      <c r="B101" s="535" t="s">
        <v>1015</v>
      </c>
      <c r="C101" s="533"/>
    </row>
    <row r="102" spans="1:9" ht="22.5">
      <c r="A102" s="533">
        <v>40</v>
      </c>
      <c r="B102" s="535" t="s">
        <v>1016</v>
      </c>
      <c r="C102" s="533"/>
    </row>
    <row r="103" spans="1:9" ht="22.5">
      <c r="A103" s="533">
        <v>41</v>
      </c>
      <c r="B103" s="540" t="s">
        <v>1025</v>
      </c>
      <c r="C103" s="541"/>
    </row>
    <row r="104" spans="1:9" ht="22.5">
      <c r="A104" s="533">
        <v>42</v>
      </c>
      <c r="B104" s="540" t="s">
        <v>1026</v>
      </c>
      <c r="C104" s="541"/>
    </row>
    <row r="105" spans="1:9" ht="22.5">
      <c r="A105" s="533">
        <v>43</v>
      </c>
      <c r="B105" s="540" t="s">
        <v>1017</v>
      </c>
      <c r="C105" s="541"/>
    </row>
    <row r="106" spans="1:9" ht="22.5">
      <c r="A106" s="533">
        <v>44</v>
      </c>
      <c r="B106" s="540" t="s">
        <v>1027</v>
      </c>
      <c r="C106" s="541"/>
      <c r="G106" s="545"/>
      <c r="H106" s="545"/>
      <c r="I106" s="545"/>
    </row>
    <row r="107" spans="1:9" ht="22.5">
      <c r="A107" s="533">
        <v>45</v>
      </c>
      <c r="B107" s="540" t="s">
        <v>1028</v>
      </c>
      <c r="C107" s="541"/>
      <c r="G107" s="545"/>
      <c r="H107" s="545"/>
      <c r="I107" s="545"/>
    </row>
    <row r="108" spans="1:9" ht="22.5">
      <c r="A108" s="533">
        <v>46</v>
      </c>
      <c r="B108" s="540" t="s">
        <v>1018</v>
      </c>
      <c r="C108" s="541"/>
      <c r="G108" s="547"/>
      <c r="H108" s="547"/>
      <c r="I108" s="547"/>
    </row>
    <row r="109" spans="1:9" ht="22.5">
      <c r="A109" s="533">
        <v>47</v>
      </c>
      <c r="B109" s="540" t="s">
        <v>1019</v>
      </c>
      <c r="C109" s="541"/>
    </row>
    <row r="110" spans="1:9" ht="22.5">
      <c r="A110" s="533">
        <v>48</v>
      </c>
      <c r="B110" s="540" t="s">
        <v>1029</v>
      </c>
      <c r="C110" s="541"/>
      <c r="D110" s="545"/>
      <c r="E110" s="545"/>
      <c r="F110" s="545"/>
    </row>
    <row r="111" spans="1:9" ht="22.5">
      <c r="A111" s="533">
        <v>49</v>
      </c>
      <c r="B111" s="540" t="s">
        <v>1030</v>
      </c>
      <c r="C111" s="541"/>
      <c r="D111" s="545"/>
      <c r="E111" s="545"/>
      <c r="F111" s="545"/>
    </row>
    <row r="112" spans="1:9" s="545" customFormat="1" ht="67.5">
      <c r="A112" s="548">
        <v>50</v>
      </c>
      <c r="B112" s="542" t="s">
        <v>1020</v>
      </c>
      <c r="C112" s="533"/>
      <c r="D112" s="547"/>
      <c r="E112" s="547"/>
      <c r="F112" s="547"/>
      <c r="G112" s="544"/>
      <c r="H112" s="544"/>
      <c r="I112" s="544"/>
    </row>
    <row r="113" spans="1:9" s="545" customFormat="1" ht="22.5">
      <c r="A113" s="533">
        <v>51</v>
      </c>
      <c r="B113" s="535" t="s">
        <v>1021</v>
      </c>
      <c r="C113" s="533"/>
      <c r="D113" s="544"/>
      <c r="E113" s="544"/>
      <c r="F113" s="544"/>
      <c r="G113" s="544"/>
      <c r="H113" s="544"/>
      <c r="I113" s="544"/>
    </row>
    <row r="114" spans="1:9" s="547" customFormat="1" ht="22.5">
      <c r="A114" s="549"/>
      <c r="B114" s="549" t="s">
        <v>931</v>
      </c>
      <c r="C114" s="549"/>
      <c r="D114" s="544"/>
      <c r="E114" s="544"/>
      <c r="F114" s="544"/>
      <c r="G114" s="544"/>
      <c r="H114" s="544"/>
      <c r="I114" s="544"/>
    </row>
    <row r="115" spans="1:9" ht="22.5">
      <c r="A115" s="540"/>
      <c r="B115" s="540"/>
      <c r="C115" s="541"/>
    </row>
  </sheetData>
  <mergeCells count="7">
    <mergeCell ref="A61:C61"/>
    <mergeCell ref="A1:E1"/>
    <mergeCell ref="E2:H2"/>
    <mergeCell ref="A2:A3"/>
    <mergeCell ref="B2:B3"/>
    <mergeCell ref="C2:C3"/>
    <mergeCell ref="D2:D3"/>
  </mergeCells>
  <pageMargins left="0.2" right="0" top="0.25" bottom="0" header="0.3" footer="0.3"/>
  <pageSetup paperSize="9" orientation="landscape" horizontalDpi="4294967293" verticalDpi="0" r:id="rId1"/>
  <ignoredErrors>
    <ignoredError sqref="C34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5"/>
  <sheetViews>
    <sheetView topLeftCell="A7" zoomScale="85" zoomScaleNormal="85" workbookViewId="0">
      <selection activeCell="H12" sqref="H12"/>
    </sheetView>
  </sheetViews>
  <sheetFormatPr defaultColWidth="9.140625" defaultRowHeight="30" customHeight="1"/>
  <cols>
    <col min="1" max="1" width="8.7109375" style="506" customWidth="1"/>
    <col min="2" max="2" width="59.140625" style="506" customWidth="1"/>
    <col min="3" max="3" width="16.7109375" style="571" customWidth="1"/>
    <col min="4" max="4" width="18.42578125" style="572" customWidth="1"/>
    <col min="5" max="8" width="16.42578125" style="572" customWidth="1"/>
    <col min="9" max="9" width="19" style="572" customWidth="1"/>
    <col min="10" max="10" width="24" style="572" customWidth="1"/>
    <col min="11" max="12" width="9.140625" style="572"/>
    <col min="13" max="13" width="17.7109375" style="572" customWidth="1"/>
    <col min="14" max="16384" width="9.140625" style="572"/>
  </cols>
  <sheetData>
    <row r="1" spans="1:13" s="506" customFormat="1" ht="32.25" customHeight="1">
      <c r="A1" s="776" t="s">
        <v>1045</v>
      </c>
      <c r="B1" s="776"/>
      <c r="C1" s="776"/>
      <c r="D1" s="776"/>
      <c r="E1" s="776"/>
      <c r="F1" s="776"/>
      <c r="G1" s="776"/>
      <c r="H1" s="776"/>
    </row>
    <row r="2" spans="1:13" s="506" customFormat="1" ht="54" customHeight="1">
      <c r="A2" s="641" t="s">
        <v>1031</v>
      </c>
      <c r="B2" s="641" t="s">
        <v>929</v>
      </c>
      <c r="C2" s="641" t="s">
        <v>1032</v>
      </c>
      <c r="D2" s="636" t="s">
        <v>1053</v>
      </c>
      <c r="E2" s="636" t="s">
        <v>1052</v>
      </c>
      <c r="F2" s="636"/>
      <c r="G2" s="636"/>
      <c r="H2" s="636"/>
      <c r="I2" s="565" t="s">
        <v>1054</v>
      </c>
    </row>
    <row r="3" spans="1:13" s="506" customFormat="1" ht="72" customHeight="1">
      <c r="A3" s="641"/>
      <c r="B3" s="641"/>
      <c r="C3" s="641"/>
      <c r="D3" s="636"/>
      <c r="E3" s="563" t="s">
        <v>1055</v>
      </c>
      <c r="F3" s="563" t="s">
        <v>1056</v>
      </c>
      <c r="G3" s="563" t="s">
        <v>1057</v>
      </c>
      <c r="H3" s="563" t="s">
        <v>1058</v>
      </c>
    </row>
    <row r="4" spans="1:13" s="506" customFormat="1" ht="29.25" customHeight="1">
      <c r="A4" s="562">
        <v>1</v>
      </c>
      <c r="B4" s="495" t="s">
        <v>989</v>
      </c>
      <c r="C4" s="566">
        <f>SUM(E4:H4)</f>
        <v>498</v>
      </c>
      <c r="D4" s="567"/>
      <c r="E4" s="567">
        <v>87</v>
      </c>
      <c r="F4" s="567">
        <v>207</v>
      </c>
      <c r="G4" s="567">
        <v>122</v>
      </c>
      <c r="H4" s="567">
        <v>82</v>
      </c>
      <c r="I4" s="506">
        <f>SUM(E4:H4)</f>
        <v>498</v>
      </c>
      <c r="J4" s="506">
        <f>C4-I4</f>
        <v>0</v>
      </c>
      <c r="M4" s="506">
        <v>207</v>
      </c>
    </row>
    <row r="5" spans="1:13" s="506" customFormat="1" ht="29.25" customHeight="1">
      <c r="A5" s="562">
        <v>2</v>
      </c>
      <c r="B5" s="480" t="s">
        <v>992</v>
      </c>
      <c r="C5" s="566">
        <f t="shared" ref="C5:C36" si="0">SUM(E5:H5)</f>
        <v>325</v>
      </c>
      <c r="D5" s="567"/>
      <c r="E5" s="567">
        <v>99</v>
      </c>
      <c r="F5" s="567">
        <v>98</v>
      </c>
      <c r="G5" s="567">
        <v>99</v>
      </c>
      <c r="H5" s="567">
        <v>29</v>
      </c>
      <c r="I5" s="506">
        <f>SUM(E5:H5)</f>
        <v>325</v>
      </c>
      <c r="J5" s="506">
        <f t="shared" ref="J5:J36" si="1">C5-I5</f>
        <v>0</v>
      </c>
      <c r="M5" s="506">
        <v>122</v>
      </c>
    </row>
    <row r="6" spans="1:13" s="506" customFormat="1" ht="29.25" customHeight="1">
      <c r="A6" s="562">
        <v>3</v>
      </c>
      <c r="B6" s="480" t="s">
        <v>991</v>
      </c>
      <c r="C6" s="566">
        <f t="shared" si="0"/>
        <v>40</v>
      </c>
      <c r="D6" s="567"/>
      <c r="E6" s="567">
        <v>9</v>
      </c>
      <c r="F6" s="567">
        <v>12</v>
      </c>
      <c r="G6" s="567">
        <v>18</v>
      </c>
      <c r="H6" s="567">
        <v>1</v>
      </c>
      <c r="I6" s="506">
        <f>SUM(E6:H6)</f>
        <v>40</v>
      </c>
      <c r="J6" s="506">
        <f t="shared" si="1"/>
        <v>0</v>
      </c>
      <c r="M6" s="506">
        <v>82</v>
      </c>
    </row>
    <row r="7" spans="1:13" s="506" customFormat="1" ht="29.25" customHeight="1">
      <c r="A7" s="562">
        <v>4</v>
      </c>
      <c r="B7" s="495" t="s">
        <v>990</v>
      </c>
      <c r="C7" s="566">
        <f t="shared" si="0"/>
        <v>49</v>
      </c>
      <c r="D7" s="568"/>
      <c r="E7" s="567">
        <v>4</v>
      </c>
      <c r="F7" s="567">
        <v>10</v>
      </c>
      <c r="G7" s="567">
        <v>24</v>
      </c>
      <c r="H7" s="567">
        <v>11</v>
      </c>
      <c r="I7" s="506">
        <f>SUM(E7:H7)</f>
        <v>49</v>
      </c>
      <c r="J7" s="506">
        <f t="shared" si="1"/>
        <v>0</v>
      </c>
      <c r="M7" s="506">
        <v>87</v>
      </c>
    </row>
    <row r="8" spans="1:13" s="506" customFormat="1" ht="29.25" customHeight="1">
      <c r="A8" s="562">
        <v>5</v>
      </c>
      <c r="B8" s="480" t="s">
        <v>993</v>
      </c>
      <c r="C8" s="566">
        <f t="shared" si="0"/>
        <v>34038</v>
      </c>
      <c r="D8" s="567"/>
      <c r="E8" s="567">
        <v>8546</v>
      </c>
      <c r="F8" s="607">
        <v>9852</v>
      </c>
      <c r="G8" s="567">
        <v>9136</v>
      </c>
      <c r="H8" s="567">
        <v>6504</v>
      </c>
      <c r="I8" s="506">
        <f t="shared" ref="I8:I36" si="2">SUM(E8:H8)</f>
        <v>34038</v>
      </c>
      <c r="J8" s="506">
        <f t="shared" si="1"/>
        <v>0</v>
      </c>
      <c r="M8" s="506">
        <f>SUM(M4:M7)</f>
        <v>498</v>
      </c>
    </row>
    <row r="9" spans="1:13" s="506" customFormat="1" ht="29.25" customHeight="1">
      <c r="A9" s="562">
        <v>6</v>
      </c>
      <c r="B9" s="480" t="s">
        <v>996</v>
      </c>
      <c r="C9" s="569">
        <f t="shared" si="0"/>
        <v>13661.550000000001</v>
      </c>
      <c r="D9" s="567"/>
      <c r="E9" s="567">
        <v>3344.6</v>
      </c>
      <c r="F9" s="567">
        <v>4133.8500000000004</v>
      </c>
      <c r="G9" s="490">
        <v>3718.75</v>
      </c>
      <c r="H9" s="490">
        <v>2464.35</v>
      </c>
      <c r="I9" s="506">
        <f t="shared" si="2"/>
        <v>13661.550000000001</v>
      </c>
      <c r="J9" s="506">
        <f t="shared" si="1"/>
        <v>0</v>
      </c>
    </row>
    <row r="10" spans="1:13" s="506" customFormat="1" ht="29.25" customHeight="1">
      <c r="A10" s="562">
        <v>7</v>
      </c>
      <c r="B10" s="480" t="s">
        <v>995</v>
      </c>
      <c r="C10" s="569">
        <f t="shared" si="0"/>
        <v>911</v>
      </c>
      <c r="D10" s="567"/>
      <c r="E10" s="567">
        <v>199</v>
      </c>
      <c r="F10" s="567">
        <v>327</v>
      </c>
      <c r="G10" s="567">
        <v>262</v>
      </c>
      <c r="H10" s="567">
        <v>123</v>
      </c>
      <c r="I10" s="506">
        <f t="shared" si="2"/>
        <v>911</v>
      </c>
      <c r="J10" s="506">
        <f t="shared" si="1"/>
        <v>0</v>
      </c>
    </row>
    <row r="11" spans="1:13" s="506" customFormat="1" ht="29.25" customHeight="1">
      <c r="A11" s="562">
        <v>8</v>
      </c>
      <c r="B11" s="480" t="s">
        <v>997</v>
      </c>
      <c r="C11" s="569">
        <f t="shared" si="0"/>
        <v>15304.8</v>
      </c>
      <c r="D11" s="567"/>
      <c r="E11" s="567">
        <v>3794.6</v>
      </c>
      <c r="F11" s="567">
        <v>4529.8</v>
      </c>
      <c r="G11" s="567">
        <v>4137.2</v>
      </c>
      <c r="H11" s="567">
        <v>2843.2</v>
      </c>
      <c r="I11" s="506">
        <f t="shared" si="2"/>
        <v>15304.8</v>
      </c>
      <c r="J11" s="506">
        <f t="shared" si="1"/>
        <v>0</v>
      </c>
    </row>
    <row r="12" spans="1:13" s="506" customFormat="1" ht="29.25" customHeight="1">
      <c r="A12" s="562">
        <v>9</v>
      </c>
      <c r="B12" s="480" t="s">
        <v>999</v>
      </c>
      <c r="C12" s="569">
        <f t="shared" si="0"/>
        <v>66965.100000000006</v>
      </c>
      <c r="D12" s="567"/>
      <c r="E12" s="567">
        <v>22728</v>
      </c>
      <c r="F12" s="567">
        <v>2627.1</v>
      </c>
      <c r="G12" s="567">
        <v>24333</v>
      </c>
      <c r="H12" s="567">
        <v>17277</v>
      </c>
      <c r="I12" s="506">
        <f t="shared" si="2"/>
        <v>66965.100000000006</v>
      </c>
      <c r="J12" s="506">
        <f t="shared" si="1"/>
        <v>0</v>
      </c>
    </row>
    <row r="13" spans="1:13" s="506" customFormat="1" ht="29.25" customHeight="1">
      <c r="A13" s="562">
        <v>10</v>
      </c>
      <c r="B13" s="480" t="s">
        <v>1000</v>
      </c>
      <c r="C13" s="569">
        <f t="shared" si="0"/>
        <v>25746</v>
      </c>
      <c r="D13" s="490"/>
      <c r="E13" s="490">
        <v>6417</v>
      </c>
      <c r="F13" s="609">
        <v>7551</v>
      </c>
      <c r="G13" s="567">
        <v>6939</v>
      </c>
      <c r="H13" s="567">
        <v>4839</v>
      </c>
      <c r="I13" s="506">
        <f t="shared" si="2"/>
        <v>25746</v>
      </c>
      <c r="J13" s="506">
        <f t="shared" si="1"/>
        <v>0</v>
      </c>
    </row>
    <row r="14" spans="1:13" s="506" customFormat="1" ht="29.25" customHeight="1">
      <c r="A14" s="562">
        <v>11</v>
      </c>
      <c r="B14" s="480" t="s">
        <v>1001</v>
      </c>
      <c r="C14" s="566">
        <f t="shared" si="0"/>
        <v>912</v>
      </c>
      <c r="D14" s="567"/>
      <c r="E14" s="567">
        <v>199</v>
      </c>
      <c r="F14" s="567">
        <v>327</v>
      </c>
      <c r="G14" s="567">
        <v>263</v>
      </c>
      <c r="H14" s="567">
        <v>123</v>
      </c>
      <c r="I14" s="506">
        <f t="shared" si="2"/>
        <v>912</v>
      </c>
      <c r="J14" s="506">
        <f t="shared" si="1"/>
        <v>0</v>
      </c>
    </row>
    <row r="15" spans="1:13" s="506" customFormat="1" ht="29.25" customHeight="1">
      <c r="A15" s="562">
        <v>12</v>
      </c>
      <c r="B15" s="480" t="s">
        <v>1003</v>
      </c>
      <c r="C15" s="566">
        <f t="shared" si="0"/>
        <v>912</v>
      </c>
      <c r="D15" s="567"/>
      <c r="E15" s="567">
        <v>199</v>
      </c>
      <c r="F15" s="567">
        <v>327</v>
      </c>
      <c r="G15" s="567">
        <v>263</v>
      </c>
      <c r="H15" s="567">
        <v>123</v>
      </c>
      <c r="I15" s="506">
        <f t="shared" si="2"/>
        <v>912</v>
      </c>
      <c r="J15" s="506">
        <f t="shared" si="1"/>
        <v>0</v>
      </c>
    </row>
    <row r="16" spans="1:13" s="506" customFormat="1" ht="29.25" customHeight="1">
      <c r="A16" s="562">
        <v>13</v>
      </c>
      <c r="B16" s="480" t="s">
        <v>1059</v>
      </c>
      <c r="C16" s="566">
        <f t="shared" si="0"/>
        <v>1372</v>
      </c>
      <c r="D16" s="567"/>
      <c r="E16" s="567">
        <v>112</v>
      </c>
      <c r="F16" s="567">
        <v>280</v>
      </c>
      <c r="G16" s="567">
        <v>672</v>
      </c>
      <c r="H16" s="567">
        <v>308</v>
      </c>
      <c r="I16" s="506">
        <f t="shared" si="2"/>
        <v>1372</v>
      </c>
      <c r="J16" s="506">
        <f t="shared" si="1"/>
        <v>0</v>
      </c>
    </row>
    <row r="17" spans="1:10" s="506" customFormat="1" ht="29.25" customHeight="1">
      <c r="A17" s="562">
        <v>14</v>
      </c>
      <c r="B17" s="480" t="s">
        <v>1060</v>
      </c>
      <c r="C17" s="566">
        <f t="shared" si="0"/>
        <v>1120</v>
      </c>
      <c r="D17" s="567"/>
      <c r="E17" s="567">
        <v>252</v>
      </c>
      <c r="F17" s="567">
        <v>336</v>
      </c>
      <c r="G17" s="567">
        <v>504</v>
      </c>
      <c r="H17" s="567">
        <v>28</v>
      </c>
      <c r="I17" s="506">
        <f t="shared" si="2"/>
        <v>1120</v>
      </c>
      <c r="J17" s="506">
        <f t="shared" si="1"/>
        <v>0</v>
      </c>
    </row>
    <row r="18" spans="1:10" s="506" customFormat="1" ht="29.25" customHeight="1">
      <c r="A18" s="562">
        <v>15</v>
      </c>
      <c r="B18" s="480" t="s">
        <v>1061</v>
      </c>
      <c r="C18" s="566">
        <f t="shared" si="0"/>
        <v>78304</v>
      </c>
      <c r="D18" s="567"/>
      <c r="E18" s="567">
        <v>16848</v>
      </c>
      <c r="F18" s="567">
        <v>28040</v>
      </c>
      <c r="G18" s="567">
        <v>22328</v>
      </c>
      <c r="H18" s="567">
        <v>11088</v>
      </c>
      <c r="I18" s="506">
        <f t="shared" si="2"/>
        <v>78304</v>
      </c>
      <c r="J18" s="506">
        <f t="shared" si="1"/>
        <v>0</v>
      </c>
    </row>
    <row r="19" spans="1:10" s="506" customFormat="1" ht="29.25" customHeight="1">
      <c r="A19" s="562">
        <v>16</v>
      </c>
      <c r="B19" s="480" t="s">
        <v>1062</v>
      </c>
      <c r="C19" s="566">
        <f t="shared" si="0"/>
        <v>4800</v>
      </c>
      <c r="D19" s="567"/>
      <c r="E19" s="567">
        <v>1080</v>
      </c>
      <c r="F19" s="567">
        <v>1440</v>
      </c>
      <c r="G19" s="567">
        <v>2160</v>
      </c>
      <c r="H19" s="567">
        <v>120</v>
      </c>
      <c r="I19" s="506">
        <f t="shared" si="2"/>
        <v>4800</v>
      </c>
      <c r="J19" s="506">
        <f t="shared" si="1"/>
        <v>0</v>
      </c>
    </row>
    <row r="20" spans="1:10" s="506" customFormat="1" ht="29.25" customHeight="1">
      <c r="A20" s="562">
        <v>17</v>
      </c>
      <c r="B20" s="570" t="s">
        <v>1005</v>
      </c>
      <c r="C20" s="566">
        <f t="shared" si="0"/>
        <v>49</v>
      </c>
      <c r="D20" s="567"/>
      <c r="E20" s="567">
        <v>4</v>
      </c>
      <c r="F20" s="567">
        <v>10</v>
      </c>
      <c r="G20" s="567">
        <v>24</v>
      </c>
      <c r="H20" s="567">
        <v>11</v>
      </c>
      <c r="I20" s="506">
        <f t="shared" si="2"/>
        <v>49</v>
      </c>
      <c r="J20" s="506">
        <f t="shared" si="1"/>
        <v>0</v>
      </c>
    </row>
    <row r="21" spans="1:10" s="506" customFormat="1" ht="29.25" customHeight="1">
      <c r="A21" s="562">
        <v>18</v>
      </c>
      <c r="B21" s="570" t="s">
        <v>1006</v>
      </c>
      <c r="C21" s="566">
        <f t="shared" si="0"/>
        <v>40</v>
      </c>
      <c r="D21" s="567"/>
      <c r="E21" s="567">
        <v>9</v>
      </c>
      <c r="F21" s="567">
        <v>12</v>
      </c>
      <c r="G21" s="567">
        <v>18</v>
      </c>
      <c r="H21" s="567">
        <v>1</v>
      </c>
      <c r="I21" s="506">
        <f t="shared" si="2"/>
        <v>40</v>
      </c>
      <c r="J21" s="506">
        <f t="shared" si="1"/>
        <v>0</v>
      </c>
    </row>
    <row r="22" spans="1:10" s="506" customFormat="1" ht="29.25" customHeight="1">
      <c r="A22" s="562">
        <v>19</v>
      </c>
      <c r="B22" s="570" t="s">
        <v>1007</v>
      </c>
      <c r="C22" s="566">
        <f t="shared" si="0"/>
        <v>823</v>
      </c>
      <c r="D22" s="567"/>
      <c r="E22" s="567">
        <v>186</v>
      </c>
      <c r="F22" s="567">
        <v>305</v>
      </c>
      <c r="G22" s="567">
        <v>221</v>
      </c>
      <c r="H22" s="567">
        <v>111</v>
      </c>
      <c r="I22" s="506">
        <f t="shared" si="2"/>
        <v>823</v>
      </c>
      <c r="J22" s="506">
        <f t="shared" si="1"/>
        <v>0</v>
      </c>
    </row>
    <row r="23" spans="1:10" s="506" customFormat="1" ht="29.25" customHeight="1">
      <c r="A23" s="562">
        <v>20</v>
      </c>
      <c r="B23" s="480" t="s">
        <v>1016</v>
      </c>
      <c r="C23" s="566">
        <f t="shared" si="0"/>
        <v>2736</v>
      </c>
      <c r="D23" s="567"/>
      <c r="E23" s="567">
        <v>597</v>
      </c>
      <c r="F23" s="567">
        <v>981</v>
      </c>
      <c r="G23" s="567">
        <v>789</v>
      </c>
      <c r="H23" s="567">
        <v>369</v>
      </c>
      <c r="I23" s="506">
        <f t="shared" si="2"/>
        <v>2736</v>
      </c>
      <c r="J23" s="506">
        <f t="shared" si="1"/>
        <v>0</v>
      </c>
    </row>
    <row r="24" spans="1:10" s="506" customFormat="1" ht="29.25" customHeight="1">
      <c r="A24" s="562">
        <v>21</v>
      </c>
      <c r="B24" s="480" t="s">
        <v>1063</v>
      </c>
      <c r="C24" s="566">
        <f t="shared" si="0"/>
        <v>392</v>
      </c>
      <c r="D24" s="567"/>
      <c r="E24" s="567">
        <v>32</v>
      </c>
      <c r="F24" s="567">
        <v>80</v>
      </c>
      <c r="G24" s="567">
        <v>192</v>
      </c>
      <c r="H24" s="567">
        <v>88</v>
      </c>
      <c r="I24" s="506">
        <f t="shared" si="2"/>
        <v>392</v>
      </c>
      <c r="J24" s="506">
        <f t="shared" si="1"/>
        <v>0</v>
      </c>
    </row>
    <row r="25" spans="1:10" s="506" customFormat="1" ht="29.25" customHeight="1">
      <c r="A25" s="562">
        <v>22</v>
      </c>
      <c r="B25" s="480" t="s">
        <v>1064</v>
      </c>
      <c r="C25" s="566">
        <f t="shared" si="0"/>
        <v>320</v>
      </c>
      <c r="D25" s="567"/>
      <c r="E25" s="567">
        <v>72</v>
      </c>
      <c r="F25" s="567">
        <v>96</v>
      </c>
      <c r="G25" s="567">
        <v>144</v>
      </c>
      <c r="H25" s="567">
        <v>8</v>
      </c>
      <c r="I25" s="506">
        <f t="shared" si="2"/>
        <v>320</v>
      </c>
      <c r="J25" s="506">
        <f t="shared" si="1"/>
        <v>0</v>
      </c>
    </row>
    <row r="26" spans="1:10" s="506" customFormat="1" ht="29.25" customHeight="1">
      <c r="A26" s="562">
        <v>23</v>
      </c>
      <c r="B26" s="480" t="s">
        <v>1065</v>
      </c>
      <c r="C26" s="566">
        <f t="shared" si="0"/>
        <v>13952</v>
      </c>
      <c r="D26" s="567"/>
      <c r="E26" s="567">
        <v>3040</v>
      </c>
      <c r="F26" s="567">
        <v>5040</v>
      </c>
      <c r="G26" s="567">
        <v>3920</v>
      </c>
      <c r="H26" s="567">
        <v>1952</v>
      </c>
      <c r="I26" s="506">
        <f t="shared" si="2"/>
        <v>13952</v>
      </c>
      <c r="J26" s="506">
        <f t="shared" si="1"/>
        <v>0</v>
      </c>
    </row>
    <row r="27" spans="1:10" s="506" customFormat="1" ht="29.25" customHeight="1">
      <c r="A27" s="562">
        <v>24</v>
      </c>
      <c r="B27" s="480" t="s">
        <v>1066</v>
      </c>
      <c r="C27" s="566">
        <f t="shared" si="0"/>
        <v>640</v>
      </c>
      <c r="D27" s="567"/>
      <c r="E27" s="567">
        <v>144</v>
      </c>
      <c r="F27" s="567">
        <v>192</v>
      </c>
      <c r="G27" s="567">
        <v>288</v>
      </c>
      <c r="H27" s="567">
        <v>16</v>
      </c>
      <c r="I27" s="506">
        <f t="shared" si="2"/>
        <v>640</v>
      </c>
      <c r="J27" s="506">
        <f t="shared" si="1"/>
        <v>0</v>
      </c>
    </row>
    <row r="28" spans="1:10" s="506" customFormat="1" ht="29.25" customHeight="1">
      <c r="A28" s="562">
        <v>25</v>
      </c>
      <c r="B28" s="480" t="s">
        <v>1004</v>
      </c>
      <c r="C28" s="566">
        <f t="shared" si="0"/>
        <v>2736</v>
      </c>
      <c r="D28" s="567"/>
      <c r="E28" s="567">
        <v>597</v>
      </c>
      <c r="F28" s="567">
        <v>981</v>
      </c>
      <c r="G28" s="567">
        <v>789</v>
      </c>
      <c r="H28" s="567">
        <v>369</v>
      </c>
      <c r="I28" s="506">
        <f t="shared" si="2"/>
        <v>2736</v>
      </c>
      <c r="J28" s="506">
        <f t="shared" si="1"/>
        <v>0</v>
      </c>
    </row>
    <row r="29" spans="1:10" s="506" customFormat="1" ht="29.25" customHeight="1">
      <c r="A29" s="562">
        <v>26</v>
      </c>
      <c r="B29" s="480" t="s">
        <v>1010</v>
      </c>
      <c r="C29" s="566">
        <f t="shared" si="0"/>
        <v>25746</v>
      </c>
      <c r="D29" s="567"/>
      <c r="E29" s="567">
        <v>6417</v>
      </c>
      <c r="F29" s="567">
        <v>7551</v>
      </c>
      <c r="G29" s="567">
        <v>6939</v>
      </c>
      <c r="H29" s="567">
        <v>4839</v>
      </c>
      <c r="I29" s="506">
        <f t="shared" si="2"/>
        <v>25746</v>
      </c>
      <c r="J29" s="506">
        <f t="shared" si="1"/>
        <v>0</v>
      </c>
    </row>
    <row r="30" spans="1:10" s="506" customFormat="1" ht="29.25" customHeight="1">
      <c r="A30" s="562">
        <v>27</v>
      </c>
      <c r="B30" s="480" t="s">
        <v>1067</v>
      </c>
      <c r="C30" s="566">
        <f t="shared" si="0"/>
        <v>28482</v>
      </c>
      <c r="D30" s="567"/>
      <c r="E30" s="567">
        <v>7014</v>
      </c>
      <c r="F30" s="567">
        <v>8532</v>
      </c>
      <c r="G30" s="567">
        <v>7728</v>
      </c>
      <c r="H30" s="567">
        <v>5208</v>
      </c>
      <c r="I30" s="506">
        <f t="shared" si="2"/>
        <v>28482</v>
      </c>
      <c r="J30" s="506">
        <f t="shared" si="1"/>
        <v>0</v>
      </c>
    </row>
    <row r="31" spans="1:10" s="506" customFormat="1" ht="29.25" customHeight="1">
      <c r="A31" s="562">
        <v>28</v>
      </c>
      <c r="B31" s="480" t="s">
        <v>1068</v>
      </c>
      <c r="C31" s="569">
        <f t="shared" si="0"/>
        <v>1482</v>
      </c>
      <c r="D31" s="567"/>
      <c r="E31" s="567">
        <v>375</v>
      </c>
      <c r="F31" s="607">
        <v>423</v>
      </c>
      <c r="G31" s="567">
        <v>396</v>
      </c>
      <c r="H31" s="567">
        <v>288</v>
      </c>
      <c r="I31" s="506">
        <f t="shared" si="2"/>
        <v>1482</v>
      </c>
      <c r="J31" s="506">
        <f t="shared" si="1"/>
        <v>0</v>
      </c>
    </row>
    <row r="32" spans="1:10" s="506" customFormat="1" ht="29.25" customHeight="1">
      <c r="A32" s="562">
        <v>29</v>
      </c>
      <c r="B32" s="480" t="s">
        <v>1012</v>
      </c>
      <c r="C32" s="569">
        <f t="shared" si="0"/>
        <v>27360</v>
      </c>
      <c r="D32" s="567"/>
      <c r="E32" s="567">
        <v>5970</v>
      </c>
      <c r="F32" s="567">
        <v>9810</v>
      </c>
      <c r="G32" s="567">
        <v>7890</v>
      </c>
      <c r="H32" s="567">
        <v>3690</v>
      </c>
      <c r="I32" s="506">
        <f t="shared" si="2"/>
        <v>27360</v>
      </c>
      <c r="J32" s="506">
        <f t="shared" si="1"/>
        <v>0</v>
      </c>
    </row>
    <row r="33" spans="1:10" s="506" customFormat="1" ht="29.25" customHeight="1">
      <c r="A33" s="562">
        <v>30</v>
      </c>
      <c r="B33" s="480" t="s">
        <v>1008</v>
      </c>
      <c r="C33" s="566">
        <f t="shared" si="0"/>
        <v>15630</v>
      </c>
      <c r="D33" s="567"/>
      <c r="E33" s="567">
        <v>3890</v>
      </c>
      <c r="F33" s="567">
        <v>4596</v>
      </c>
      <c r="G33" s="567">
        <v>4216</v>
      </c>
      <c r="H33" s="567">
        <v>2928</v>
      </c>
      <c r="I33" s="506">
        <f t="shared" si="2"/>
        <v>15630</v>
      </c>
      <c r="J33" s="506">
        <f t="shared" si="1"/>
        <v>0</v>
      </c>
    </row>
    <row r="34" spans="1:10" s="506" customFormat="1" ht="29.25" customHeight="1">
      <c r="A34" s="562">
        <v>31</v>
      </c>
      <c r="B34" s="480" t="s">
        <v>1069</v>
      </c>
      <c r="C34" s="566">
        <f t="shared" si="0"/>
        <v>78150</v>
      </c>
      <c r="D34" s="567"/>
      <c r="E34" s="567">
        <v>19450</v>
      </c>
      <c r="F34" s="567">
        <v>22980</v>
      </c>
      <c r="G34" s="567">
        <v>21080</v>
      </c>
      <c r="H34" s="567">
        <v>14640</v>
      </c>
      <c r="I34" s="506">
        <f t="shared" si="2"/>
        <v>78150</v>
      </c>
      <c r="J34" s="506">
        <f t="shared" si="1"/>
        <v>0</v>
      </c>
    </row>
    <row r="35" spans="1:10" s="506" customFormat="1" ht="29.25" customHeight="1">
      <c r="A35" s="562">
        <v>32</v>
      </c>
      <c r="B35" s="480" t="s">
        <v>1009</v>
      </c>
      <c r="C35" s="566">
        <f t="shared" si="0"/>
        <v>15630</v>
      </c>
      <c r="D35" s="567"/>
      <c r="E35" s="567">
        <v>3890</v>
      </c>
      <c r="F35" s="567">
        <v>4596</v>
      </c>
      <c r="G35" s="567">
        <v>4216</v>
      </c>
      <c r="H35" s="567">
        <v>2928</v>
      </c>
      <c r="I35" s="506">
        <f t="shared" si="2"/>
        <v>15630</v>
      </c>
      <c r="J35" s="506">
        <f t="shared" si="1"/>
        <v>0</v>
      </c>
    </row>
    <row r="36" spans="1:10" s="506" customFormat="1" ht="29.25" customHeight="1">
      <c r="A36" s="562">
        <v>33</v>
      </c>
      <c r="B36" s="480" t="s">
        <v>1014</v>
      </c>
      <c r="C36" s="569">
        <f t="shared" si="0"/>
        <v>19154</v>
      </c>
      <c r="D36" s="567"/>
      <c r="E36" s="567">
        <v>4829</v>
      </c>
      <c r="F36" s="567">
        <v>5475</v>
      </c>
      <c r="G36" s="567">
        <v>5125</v>
      </c>
      <c r="H36" s="567">
        <v>3725</v>
      </c>
      <c r="I36" s="506">
        <f t="shared" si="2"/>
        <v>19154</v>
      </c>
      <c r="J36" s="506">
        <f t="shared" si="1"/>
        <v>0</v>
      </c>
    </row>
    <row r="37" spans="1:10" s="506" customFormat="1" ht="19.5">
      <c r="C37" s="571"/>
    </row>
    <row r="38" spans="1:10" s="506" customFormat="1" ht="19.5">
      <c r="C38" s="571"/>
    </row>
    <row r="39" spans="1:10" s="506" customFormat="1" ht="19.5">
      <c r="C39" s="571"/>
    </row>
    <row r="40" spans="1:10" s="506" customFormat="1" ht="19.5">
      <c r="C40" s="571"/>
    </row>
    <row r="41" spans="1:10" s="506" customFormat="1" ht="19.5">
      <c r="C41" s="571"/>
    </row>
    <row r="42" spans="1:10" s="506" customFormat="1" ht="19.5">
      <c r="C42" s="571"/>
    </row>
    <row r="43" spans="1:10" s="506" customFormat="1" ht="19.5">
      <c r="C43" s="571"/>
    </row>
    <row r="44" spans="1:10" s="506" customFormat="1" ht="19.5">
      <c r="C44" s="571"/>
    </row>
    <row r="45" spans="1:10" s="506" customFormat="1" ht="19.5">
      <c r="C45" s="571"/>
    </row>
    <row r="46" spans="1:10" s="506" customFormat="1" ht="19.5">
      <c r="C46" s="571"/>
    </row>
    <row r="47" spans="1:10" s="506" customFormat="1" ht="19.5">
      <c r="C47" s="571"/>
    </row>
    <row r="48" spans="1:10" s="506" customFormat="1" ht="19.5">
      <c r="C48" s="571"/>
    </row>
    <row r="49" spans="1:9" s="506" customFormat="1" ht="19.5">
      <c r="C49" s="571"/>
    </row>
    <row r="50" spans="1:9" s="506" customFormat="1" ht="19.5">
      <c r="C50" s="571"/>
    </row>
    <row r="51" spans="1:9" s="506" customFormat="1" ht="19.5">
      <c r="C51" s="571"/>
    </row>
    <row r="52" spans="1:9" s="506" customFormat="1" ht="19.5">
      <c r="C52" s="571"/>
    </row>
    <row r="53" spans="1:9" s="506" customFormat="1" ht="19.5">
      <c r="C53" s="571"/>
    </row>
    <row r="54" spans="1:9" s="506" customFormat="1" ht="19.5">
      <c r="C54" s="571"/>
    </row>
    <row r="55" spans="1:9" s="506" customFormat="1" ht="19.5">
      <c r="C55" s="571"/>
      <c r="G55" s="572"/>
      <c r="H55" s="572"/>
      <c r="I55" s="572"/>
    </row>
    <row r="56" spans="1:9" s="506" customFormat="1" ht="19.5">
      <c r="C56" s="571"/>
      <c r="G56" s="478"/>
      <c r="H56" s="478"/>
      <c r="I56" s="478"/>
    </row>
    <row r="57" spans="1:9" s="506" customFormat="1" ht="19.5">
      <c r="C57" s="571"/>
      <c r="G57" s="573"/>
      <c r="H57" s="573"/>
      <c r="I57" s="573"/>
    </row>
    <row r="58" spans="1:9" s="506" customFormat="1" ht="19.5">
      <c r="C58" s="571"/>
      <c r="G58" s="573"/>
      <c r="H58" s="573"/>
      <c r="I58" s="573"/>
    </row>
    <row r="59" spans="1:9" s="506" customFormat="1" ht="19.5">
      <c r="C59" s="571"/>
      <c r="D59" s="572"/>
      <c r="E59" s="572"/>
      <c r="F59" s="572"/>
      <c r="G59" s="573"/>
      <c r="H59" s="573"/>
      <c r="I59" s="573"/>
    </row>
    <row r="60" spans="1:9" s="506" customFormat="1" ht="19.5">
      <c r="C60" s="571"/>
      <c r="D60" s="478"/>
      <c r="E60" s="478"/>
      <c r="F60" s="478"/>
      <c r="G60" s="573"/>
      <c r="H60" s="573"/>
      <c r="I60" s="573"/>
    </row>
    <row r="61" spans="1:9" ht="19.5">
      <c r="A61" s="775" t="s">
        <v>1022</v>
      </c>
      <c r="B61" s="775"/>
      <c r="C61" s="775"/>
      <c r="D61" s="573"/>
      <c r="E61" s="573"/>
      <c r="F61" s="573"/>
    </row>
    <row r="62" spans="1:9" s="478" customFormat="1" ht="19.5">
      <c r="A62" s="562" t="s">
        <v>1</v>
      </c>
      <c r="B62" s="562" t="s">
        <v>988</v>
      </c>
      <c r="C62" s="562"/>
      <c r="D62" s="573"/>
      <c r="E62" s="573"/>
      <c r="F62" s="573"/>
      <c r="G62" s="572"/>
      <c r="H62" s="572"/>
      <c r="I62" s="572"/>
    </row>
    <row r="63" spans="1:9" s="573" customFormat="1" ht="19.5">
      <c r="A63" s="562">
        <v>1</v>
      </c>
      <c r="B63" s="480" t="s">
        <v>990</v>
      </c>
      <c r="C63" s="562"/>
      <c r="G63" s="572"/>
      <c r="H63" s="572"/>
      <c r="I63" s="572"/>
    </row>
    <row r="64" spans="1:9" s="573" customFormat="1" ht="19.5">
      <c r="A64" s="562">
        <v>2</v>
      </c>
      <c r="B64" s="480" t="s">
        <v>991</v>
      </c>
      <c r="C64" s="562"/>
      <c r="G64" s="572"/>
      <c r="H64" s="572"/>
      <c r="I64" s="572"/>
    </row>
    <row r="65" spans="1:9" s="573" customFormat="1" ht="19.5">
      <c r="A65" s="562">
        <v>3</v>
      </c>
      <c r="B65" s="480" t="s">
        <v>992</v>
      </c>
      <c r="C65" s="562"/>
      <c r="D65" s="572"/>
      <c r="E65" s="572"/>
      <c r="F65" s="572"/>
      <c r="G65" s="572"/>
      <c r="H65" s="572"/>
      <c r="I65" s="572"/>
    </row>
    <row r="66" spans="1:9" s="573" customFormat="1" ht="19.5">
      <c r="A66" s="562">
        <v>4</v>
      </c>
      <c r="B66" s="480" t="s">
        <v>993</v>
      </c>
      <c r="C66" s="562"/>
      <c r="D66" s="572"/>
      <c r="E66" s="572"/>
      <c r="F66" s="572"/>
      <c r="G66" s="572"/>
      <c r="H66" s="572"/>
      <c r="I66" s="572"/>
    </row>
    <row r="67" spans="1:9" ht="19.5">
      <c r="A67" s="562">
        <v>5</v>
      </c>
      <c r="B67" s="480" t="s">
        <v>994</v>
      </c>
      <c r="C67" s="562"/>
    </row>
    <row r="68" spans="1:9" ht="19.5">
      <c r="A68" s="562">
        <v>6</v>
      </c>
      <c r="B68" s="574" t="s">
        <v>995</v>
      </c>
      <c r="C68" s="562"/>
    </row>
    <row r="69" spans="1:9" ht="19.5">
      <c r="A69" s="562">
        <v>7</v>
      </c>
      <c r="B69" s="480" t="s">
        <v>996</v>
      </c>
      <c r="C69" s="562"/>
    </row>
    <row r="70" spans="1:9" ht="19.5">
      <c r="A70" s="562">
        <v>8</v>
      </c>
      <c r="B70" s="480" t="s">
        <v>997</v>
      </c>
      <c r="C70" s="562"/>
    </row>
    <row r="71" spans="1:9" ht="19.5">
      <c r="A71" s="562">
        <v>9</v>
      </c>
      <c r="B71" s="574" t="s">
        <v>998</v>
      </c>
      <c r="C71" s="562"/>
    </row>
    <row r="72" spans="1:9" ht="19.5">
      <c r="A72" s="562">
        <v>10</v>
      </c>
      <c r="B72" s="480" t="s">
        <v>999</v>
      </c>
      <c r="C72" s="562"/>
    </row>
    <row r="73" spans="1:9" ht="19.5">
      <c r="A73" s="562">
        <v>11</v>
      </c>
      <c r="B73" s="480" t="s">
        <v>1000</v>
      </c>
      <c r="C73" s="562"/>
    </row>
    <row r="74" spans="1:9" ht="19.5">
      <c r="A74" s="562">
        <v>12</v>
      </c>
      <c r="B74" s="480" t="s">
        <v>1001</v>
      </c>
      <c r="C74" s="562"/>
    </row>
    <row r="75" spans="1:9" ht="19.5">
      <c r="A75" s="562">
        <v>13</v>
      </c>
      <c r="B75" s="575" t="s">
        <v>1002</v>
      </c>
      <c r="C75" s="562"/>
    </row>
    <row r="76" spans="1:9" ht="19.5">
      <c r="A76" s="562">
        <v>14</v>
      </c>
      <c r="B76" s="480" t="s">
        <v>1003</v>
      </c>
      <c r="C76" s="562"/>
    </row>
    <row r="77" spans="1:9" ht="19.5">
      <c r="A77" s="562">
        <v>15</v>
      </c>
      <c r="B77" s="480" t="s">
        <v>1004</v>
      </c>
      <c r="C77" s="562"/>
    </row>
    <row r="78" spans="1:9" ht="22.5">
      <c r="A78" s="562">
        <v>16</v>
      </c>
      <c r="B78" s="480" t="s">
        <v>1059</v>
      </c>
      <c r="C78" s="562"/>
    </row>
    <row r="79" spans="1:9" ht="22.5">
      <c r="A79" s="562">
        <v>17</v>
      </c>
      <c r="B79" s="480" t="s">
        <v>1060</v>
      </c>
      <c r="C79" s="562"/>
    </row>
    <row r="80" spans="1:9" ht="22.5">
      <c r="A80" s="562">
        <v>18</v>
      </c>
      <c r="B80" s="480" t="s">
        <v>1061</v>
      </c>
      <c r="C80" s="562"/>
    </row>
    <row r="81" spans="1:3" ht="22.5">
      <c r="A81" s="562">
        <v>19</v>
      </c>
      <c r="B81" s="480" t="s">
        <v>1062</v>
      </c>
      <c r="C81" s="562"/>
    </row>
    <row r="82" spans="1:3" ht="19.5">
      <c r="A82" s="562">
        <v>20</v>
      </c>
      <c r="B82" s="570" t="s">
        <v>1005</v>
      </c>
      <c r="C82" s="562"/>
    </row>
    <row r="83" spans="1:3" ht="19.5">
      <c r="A83" s="562">
        <v>21</v>
      </c>
      <c r="B83" s="570" t="s">
        <v>1023</v>
      </c>
      <c r="C83" s="562"/>
    </row>
    <row r="84" spans="1:3" ht="19.5">
      <c r="A84" s="562">
        <v>22</v>
      </c>
      <c r="B84" s="570" t="s">
        <v>1007</v>
      </c>
      <c r="C84" s="562"/>
    </row>
    <row r="85" spans="1:3" ht="19.5">
      <c r="A85" s="562">
        <v>23</v>
      </c>
      <c r="B85" s="480" t="s">
        <v>1008</v>
      </c>
      <c r="C85" s="562"/>
    </row>
    <row r="86" spans="1:3" ht="22.5">
      <c r="A86" s="562">
        <v>24</v>
      </c>
      <c r="B86" s="480" t="s">
        <v>1069</v>
      </c>
      <c r="C86" s="562"/>
    </row>
    <row r="87" spans="1:3" ht="22.5">
      <c r="A87" s="562">
        <v>25</v>
      </c>
      <c r="B87" s="480" t="s">
        <v>1070</v>
      </c>
      <c r="C87" s="562"/>
    </row>
    <row r="88" spans="1:3" ht="19.5">
      <c r="A88" s="562">
        <v>26</v>
      </c>
      <c r="B88" s="480" t="s">
        <v>1009</v>
      </c>
      <c r="C88" s="562"/>
    </row>
    <row r="89" spans="1:3" ht="22.5">
      <c r="A89" s="562">
        <v>27</v>
      </c>
      <c r="B89" s="480" t="s">
        <v>1063</v>
      </c>
      <c r="C89" s="562"/>
    </row>
    <row r="90" spans="1:3" ht="22.5">
      <c r="A90" s="562">
        <v>28</v>
      </c>
      <c r="B90" s="480" t="s">
        <v>1064</v>
      </c>
      <c r="C90" s="562"/>
    </row>
    <row r="91" spans="1:3" ht="22.5">
      <c r="A91" s="562">
        <v>29</v>
      </c>
      <c r="B91" s="480" t="s">
        <v>1065</v>
      </c>
      <c r="C91" s="562"/>
    </row>
    <row r="92" spans="1:3" ht="22.5">
      <c r="A92" s="562">
        <v>30</v>
      </c>
      <c r="B92" s="480" t="s">
        <v>1066</v>
      </c>
      <c r="C92" s="562"/>
    </row>
    <row r="93" spans="1:3" ht="19.5">
      <c r="A93" s="562">
        <v>31</v>
      </c>
      <c r="B93" s="480" t="s">
        <v>1010</v>
      </c>
      <c r="C93" s="562"/>
    </row>
    <row r="94" spans="1:3" ht="19.5">
      <c r="A94" s="562">
        <v>32</v>
      </c>
      <c r="B94" s="480" t="s">
        <v>1011</v>
      </c>
      <c r="C94" s="562"/>
    </row>
    <row r="95" spans="1:3" ht="22.5">
      <c r="A95" s="562">
        <v>33</v>
      </c>
      <c r="B95" s="480" t="s">
        <v>1067</v>
      </c>
      <c r="C95" s="562"/>
    </row>
    <row r="96" spans="1:3" ht="22.5">
      <c r="A96" s="562">
        <v>34</v>
      </c>
      <c r="B96" s="480" t="s">
        <v>1068</v>
      </c>
      <c r="C96" s="562"/>
    </row>
    <row r="97" spans="1:9" ht="19.5">
      <c r="A97" s="562">
        <v>35</v>
      </c>
      <c r="B97" s="480" t="s">
        <v>1012</v>
      </c>
      <c r="C97" s="562"/>
    </row>
    <row r="98" spans="1:9" ht="19.5">
      <c r="A98" s="562">
        <v>36</v>
      </c>
      <c r="B98" s="480" t="s">
        <v>1024</v>
      </c>
      <c r="C98" s="562"/>
    </row>
    <row r="99" spans="1:9" ht="19.5">
      <c r="A99" s="562">
        <v>37</v>
      </c>
      <c r="B99" s="480" t="s">
        <v>1013</v>
      </c>
      <c r="C99" s="562"/>
    </row>
    <row r="100" spans="1:9" ht="19.5">
      <c r="A100" s="562">
        <v>38</v>
      </c>
      <c r="B100" s="480" t="s">
        <v>1014</v>
      </c>
      <c r="C100" s="562"/>
    </row>
    <row r="101" spans="1:9" ht="19.5">
      <c r="A101" s="562">
        <v>39</v>
      </c>
      <c r="B101" s="480" t="s">
        <v>1015</v>
      </c>
      <c r="C101" s="562"/>
    </row>
    <row r="102" spans="1:9" ht="19.5">
      <c r="A102" s="562">
        <v>40</v>
      </c>
      <c r="B102" s="480" t="s">
        <v>1016</v>
      </c>
      <c r="C102" s="562"/>
    </row>
    <row r="103" spans="1:9" ht="19.5">
      <c r="A103" s="562">
        <v>41</v>
      </c>
      <c r="B103" s="576" t="s">
        <v>1025</v>
      </c>
      <c r="C103" s="577"/>
    </row>
    <row r="104" spans="1:9" ht="19.5">
      <c r="A104" s="562">
        <v>42</v>
      </c>
      <c r="B104" s="576" t="s">
        <v>1026</v>
      </c>
      <c r="C104" s="577"/>
    </row>
    <row r="105" spans="1:9" ht="19.5">
      <c r="A105" s="562">
        <v>43</v>
      </c>
      <c r="B105" s="576" t="s">
        <v>1017</v>
      </c>
      <c r="C105" s="577"/>
    </row>
    <row r="106" spans="1:9" ht="19.5">
      <c r="A106" s="562">
        <v>44</v>
      </c>
      <c r="B106" s="576" t="s">
        <v>1027</v>
      </c>
      <c r="C106" s="577"/>
      <c r="G106" s="478"/>
      <c r="H106" s="478"/>
      <c r="I106" s="478"/>
    </row>
    <row r="107" spans="1:9" ht="19.5">
      <c r="A107" s="562">
        <v>45</v>
      </c>
      <c r="B107" s="576" t="s">
        <v>1028</v>
      </c>
      <c r="C107" s="577"/>
      <c r="G107" s="478"/>
      <c r="H107" s="478"/>
      <c r="I107" s="478"/>
    </row>
    <row r="108" spans="1:9" ht="19.5">
      <c r="A108" s="562">
        <v>46</v>
      </c>
      <c r="B108" s="576" t="s">
        <v>1018</v>
      </c>
      <c r="C108" s="577"/>
      <c r="G108" s="578"/>
      <c r="H108" s="578"/>
      <c r="I108" s="578"/>
    </row>
    <row r="109" spans="1:9" ht="19.5">
      <c r="A109" s="562">
        <v>47</v>
      </c>
      <c r="B109" s="576" t="s">
        <v>1019</v>
      </c>
      <c r="C109" s="577"/>
    </row>
    <row r="110" spans="1:9" ht="19.5">
      <c r="A110" s="562">
        <v>48</v>
      </c>
      <c r="B110" s="576" t="s">
        <v>1029</v>
      </c>
      <c r="C110" s="577"/>
      <c r="D110" s="478"/>
      <c r="E110" s="478"/>
      <c r="F110" s="478"/>
    </row>
    <row r="111" spans="1:9" ht="19.5">
      <c r="A111" s="562">
        <v>49</v>
      </c>
      <c r="B111" s="576" t="s">
        <v>1030</v>
      </c>
      <c r="C111" s="577"/>
      <c r="D111" s="478"/>
      <c r="E111" s="478"/>
      <c r="F111" s="478"/>
    </row>
    <row r="112" spans="1:9" s="478" customFormat="1" ht="58.5">
      <c r="A112" s="579">
        <v>50</v>
      </c>
      <c r="B112" s="575" t="s">
        <v>1020</v>
      </c>
      <c r="C112" s="562"/>
      <c r="D112" s="578"/>
      <c r="E112" s="578"/>
      <c r="F112" s="578"/>
      <c r="G112" s="572"/>
      <c r="H112" s="572"/>
      <c r="I112" s="572"/>
    </row>
    <row r="113" spans="1:9" s="478" customFormat="1" ht="19.5">
      <c r="A113" s="562">
        <v>51</v>
      </c>
      <c r="B113" s="480" t="s">
        <v>1021</v>
      </c>
      <c r="C113" s="562"/>
      <c r="D113" s="572"/>
      <c r="E113" s="572"/>
      <c r="F113" s="572"/>
      <c r="G113" s="572"/>
      <c r="H113" s="572"/>
      <c r="I113" s="572"/>
    </row>
    <row r="114" spans="1:9" s="578" customFormat="1" ht="19.5">
      <c r="A114" s="512"/>
      <c r="B114" s="512" t="s">
        <v>931</v>
      </c>
      <c r="C114" s="512"/>
      <c r="D114" s="572"/>
      <c r="E114" s="572"/>
      <c r="F114" s="572"/>
      <c r="G114" s="572"/>
      <c r="H114" s="572"/>
      <c r="I114" s="572"/>
    </row>
    <row r="115" spans="1:9" ht="19.5">
      <c r="A115" s="576"/>
      <c r="B115" s="576"/>
      <c r="C115" s="577"/>
    </row>
  </sheetData>
  <mergeCells count="7">
    <mergeCell ref="A61:C61"/>
    <mergeCell ref="A1:H1"/>
    <mergeCell ref="A2:A3"/>
    <mergeCell ref="B2:B3"/>
    <mergeCell ref="C2:C3"/>
    <mergeCell ref="D2:D3"/>
    <mergeCell ref="E2:H2"/>
  </mergeCells>
  <pageMargins left="0.2" right="0" top="0.25" bottom="0" header="0.3" footer="0.3"/>
  <pageSetup paperSize="9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A13" zoomScale="81" zoomScaleNormal="70" workbookViewId="0">
      <selection activeCell="A13" sqref="A13:D13"/>
    </sheetView>
  </sheetViews>
  <sheetFormatPr defaultColWidth="9.140625" defaultRowHeight="30" customHeight="1"/>
  <cols>
    <col min="1" max="1" width="8.7109375" style="580" customWidth="1"/>
    <col min="2" max="2" width="69.42578125" style="580" customWidth="1"/>
    <col min="3" max="3" width="40.28515625" style="597" customWidth="1"/>
    <col min="4" max="4" width="47.5703125" style="586" customWidth="1"/>
    <col min="5" max="5" width="9.140625" style="586"/>
    <col min="6" max="6" width="17.7109375" style="586" customWidth="1"/>
    <col min="7" max="7" width="9.140625" style="586"/>
    <col min="8" max="8" width="10.28515625" style="586" bestFit="1" customWidth="1"/>
    <col min="9" max="9" width="9.140625" style="586"/>
    <col min="10" max="10" width="16.28515625" style="586" customWidth="1"/>
    <col min="11" max="16384" width="9.140625" style="586"/>
  </cols>
  <sheetData>
    <row r="1" spans="1:10" s="580" customFormat="1" ht="40.5" customHeight="1">
      <c r="A1" s="778" t="s">
        <v>1045</v>
      </c>
      <c r="B1" s="778"/>
      <c r="C1" s="778"/>
      <c r="D1" s="778"/>
    </row>
    <row r="2" spans="1:10" s="606" customFormat="1" ht="72" customHeight="1">
      <c r="A2" s="604" t="s">
        <v>933</v>
      </c>
      <c r="B2" s="604" t="s">
        <v>929</v>
      </c>
      <c r="C2" s="605" t="s">
        <v>1032</v>
      </c>
      <c r="D2" s="605" t="s">
        <v>1071</v>
      </c>
    </row>
    <row r="3" spans="1:10" s="580" customFormat="1" ht="51.75" customHeight="1">
      <c r="A3" s="581">
        <v>1</v>
      </c>
      <c r="B3" s="582" t="s">
        <v>1072</v>
      </c>
      <c r="C3" s="601" t="s">
        <v>1076</v>
      </c>
      <c r="D3" s="602" t="s">
        <v>1117</v>
      </c>
      <c r="F3" s="580">
        <v>207</v>
      </c>
      <c r="H3" s="583">
        <v>87</v>
      </c>
    </row>
    <row r="4" spans="1:10" s="580" customFormat="1" ht="51.75" customHeight="1">
      <c r="A4" s="581">
        <v>2</v>
      </c>
      <c r="B4" s="584" t="s">
        <v>993</v>
      </c>
      <c r="C4" s="601" t="s">
        <v>1077</v>
      </c>
      <c r="D4" s="602" t="s">
        <v>1117</v>
      </c>
      <c r="F4" s="580">
        <f>SUM(F3:F3)</f>
        <v>207</v>
      </c>
      <c r="H4" s="585">
        <f>SUM(H3:H3)</f>
        <v>87</v>
      </c>
    </row>
    <row r="5" spans="1:10" s="580" customFormat="1" ht="51.75" customHeight="1">
      <c r="A5" s="581">
        <v>6</v>
      </c>
      <c r="B5" s="584" t="s">
        <v>1078</v>
      </c>
      <c r="C5" s="603" t="s">
        <v>1090</v>
      </c>
      <c r="D5" s="602" t="s">
        <v>1117</v>
      </c>
    </row>
    <row r="6" spans="1:10" s="580" customFormat="1" ht="51.75" customHeight="1">
      <c r="A6" s="581">
        <v>4</v>
      </c>
      <c r="B6" s="584" t="s">
        <v>1000</v>
      </c>
      <c r="C6" s="601" t="s">
        <v>1091</v>
      </c>
      <c r="D6" s="602" t="s">
        <v>1117</v>
      </c>
      <c r="F6" s="580">
        <f>199*3</f>
        <v>597</v>
      </c>
    </row>
    <row r="7" spans="1:10" s="580" customFormat="1" ht="51.75" customHeight="1">
      <c r="A7" s="581">
        <v>3</v>
      </c>
      <c r="B7" s="584" t="s">
        <v>999</v>
      </c>
      <c r="C7" s="601" t="s">
        <v>1092</v>
      </c>
      <c r="D7" s="602" t="s">
        <v>1117</v>
      </c>
    </row>
    <row r="8" spans="1:10" s="580" customFormat="1" ht="51.75" customHeight="1">
      <c r="A8" s="581">
        <v>5</v>
      </c>
      <c r="B8" s="584" t="s">
        <v>1073</v>
      </c>
      <c r="C8" s="603" t="s">
        <v>1093</v>
      </c>
      <c r="D8" s="602" t="s">
        <v>1117</v>
      </c>
    </row>
    <row r="9" spans="1:10" s="580" customFormat="1" ht="51.75" customHeight="1">
      <c r="A9" s="581">
        <v>7</v>
      </c>
      <c r="B9" s="584" t="s">
        <v>1074</v>
      </c>
      <c r="C9" s="603" t="s">
        <v>1075</v>
      </c>
      <c r="D9" s="602" t="s">
        <v>1117</v>
      </c>
    </row>
    <row r="10" spans="1:10" s="580" customFormat="1" ht="27.75">
      <c r="C10" s="596"/>
    </row>
    <row r="11" spans="1:10" s="580" customFormat="1" ht="27.75">
      <c r="C11" s="596"/>
    </row>
    <row r="12" spans="1:10" s="580" customFormat="1" ht="27.75">
      <c r="C12" s="596"/>
    </row>
    <row r="13" spans="1:10" s="580" customFormat="1" ht="50.25" customHeight="1">
      <c r="A13" s="779" t="s">
        <v>1100</v>
      </c>
      <c r="B13" s="779"/>
      <c r="C13" s="779"/>
      <c r="D13" s="779"/>
    </row>
    <row r="14" spans="1:10" s="606" customFormat="1" ht="72" customHeight="1">
      <c r="A14" s="604" t="s">
        <v>933</v>
      </c>
      <c r="B14" s="604" t="s">
        <v>929</v>
      </c>
      <c r="C14" s="605" t="s">
        <v>1032</v>
      </c>
      <c r="D14" s="605" t="s">
        <v>1071</v>
      </c>
    </row>
    <row r="15" spans="1:10" s="580" customFormat="1" ht="51.75" customHeight="1">
      <c r="A15" s="581">
        <v>1</v>
      </c>
      <c r="B15" s="582" t="s">
        <v>1072</v>
      </c>
      <c r="C15" s="601" t="s">
        <v>1094</v>
      </c>
      <c r="D15" s="602" t="s">
        <v>1056</v>
      </c>
      <c r="F15" s="580">
        <v>207</v>
      </c>
      <c r="H15" s="583">
        <v>87</v>
      </c>
      <c r="J15" s="567">
        <v>207</v>
      </c>
    </row>
    <row r="16" spans="1:10" s="580" customFormat="1" ht="51.75" customHeight="1">
      <c r="A16" s="581">
        <v>2</v>
      </c>
      <c r="B16" s="584" t="s">
        <v>993</v>
      </c>
      <c r="C16" s="601" t="s">
        <v>1095</v>
      </c>
      <c r="D16" s="602" t="s">
        <v>1056</v>
      </c>
      <c r="F16" s="580">
        <f>SUM(F15:F15)</f>
        <v>207</v>
      </c>
      <c r="H16" s="585">
        <f>SUM(H15:H15)</f>
        <v>87</v>
      </c>
      <c r="J16" s="567">
        <v>98</v>
      </c>
    </row>
    <row r="17" spans="1:10" s="580" customFormat="1" ht="51.75" customHeight="1">
      <c r="A17" s="581">
        <v>6</v>
      </c>
      <c r="B17" s="584" t="s">
        <v>1078</v>
      </c>
      <c r="C17" s="603" t="s">
        <v>1096</v>
      </c>
      <c r="D17" s="602" t="s">
        <v>1056</v>
      </c>
      <c r="J17" s="567">
        <v>12</v>
      </c>
    </row>
    <row r="18" spans="1:10" s="580" customFormat="1" ht="51.75" customHeight="1">
      <c r="A18" s="581">
        <v>4</v>
      </c>
      <c r="B18" s="584" t="s">
        <v>1000</v>
      </c>
      <c r="C18" s="601" t="s">
        <v>1097</v>
      </c>
      <c r="D18" s="602" t="s">
        <v>1056</v>
      </c>
      <c r="F18" s="580">
        <f>199*3</f>
        <v>597</v>
      </c>
      <c r="J18" s="567">
        <v>10</v>
      </c>
    </row>
    <row r="19" spans="1:10" s="580" customFormat="1" ht="51.75" customHeight="1">
      <c r="A19" s="581">
        <v>3</v>
      </c>
      <c r="B19" s="584" t="s">
        <v>999</v>
      </c>
      <c r="C19" s="601" t="s">
        <v>1098</v>
      </c>
      <c r="D19" s="602" t="s">
        <v>1056</v>
      </c>
      <c r="J19" s="608">
        <f>SUM(J15:J18)</f>
        <v>327</v>
      </c>
    </row>
    <row r="20" spans="1:10" s="580" customFormat="1" ht="51.75" customHeight="1">
      <c r="A20" s="581">
        <v>5</v>
      </c>
      <c r="B20" s="584" t="s">
        <v>1073</v>
      </c>
      <c r="C20" s="603" t="s">
        <v>1099</v>
      </c>
      <c r="D20" s="602" t="s">
        <v>1056</v>
      </c>
    </row>
    <row r="21" spans="1:10" s="580" customFormat="1" ht="51.75" customHeight="1">
      <c r="A21" s="581">
        <v>7</v>
      </c>
      <c r="B21" s="584" t="s">
        <v>1074</v>
      </c>
      <c r="C21" s="603" t="s">
        <v>1075</v>
      </c>
      <c r="D21" s="602" t="s">
        <v>1056</v>
      </c>
    </row>
    <row r="22" spans="1:10" s="580" customFormat="1" ht="27.75">
      <c r="A22" s="610"/>
      <c r="B22" s="610"/>
      <c r="C22" s="611"/>
      <c r="D22" s="610"/>
    </row>
    <row r="23" spans="1:10" s="580" customFormat="1" ht="27.75">
      <c r="C23" s="596"/>
    </row>
    <row r="24" spans="1:10" s="580" customFormat="1" ht="27.75">
      <c r="C24" s="596"/>
    </row>
    <row r="25" spans="1:10" s="580" customFormat="1" ht="50.25" customHeight="1">
      <c r="A25" s="778" t="s">
        <v>1101</v>
      </c>
      <c r="B25" s="778"/>
      <c r="C25" s="778"/>
      <c r="D25" s="778"/>
    </row>
    <row r="26" spans="1:10" s="606" customFormat="1" ht="72" customHeight="1">
      <c r="A26" s="604" t="s">
        <v>933</v>
      </c>
      <c r="B26" s="604" t="s">
        <v>929</v>
      </c>
      <c r="C26" s="605" t="s">
        <v>1032</v>
      </c>
      <c r="D26" s="605" t="s">
        <v>1071</v>
      </c>
    </row>
    <row r="27" spans="1:10" s="580" customFormat="1" ht="51.75" customHeight="1">
      <c r="A27" s="581">
        <v>1</v>
      </c>
      <c r="B27" s="582" t="s">
        <v>1072</v>
      </c>
      <c r="C27" s="601" t="s">
        <v>1102</v>
      </c>
      <c r="D27" s="602" t="s">
        <v>1108</v>
      </c>
      <c r="F27" s="580">
        <v>207</v>
      </c>
      <c r="H27" s="583">
        <v>87</v>
      </c>
      <c r="J27" s="567">
        <v>207</v>
      </c>
    </row>
    <row r="28" spans="1:10" s="580" customFormat="1" ht="51.75" customHeight="1">
      <c r="A28" s="581">
        <v>2</v>
      </c>
      <c r="B28" s="584" t="s">
        <v>993</v>
      </c>
      <c r="C28" s="601" t="s">
        <v>1103</v>
      </c>
      <c r="D28" s="602" t="s">
        <v>1108</v>
      </c>
      <c r="F28" s="580">
        <f>SUM(F27:F27)</f>
        <v>207</v>
      </c>
      <c r="H28" s="585">
        <f>SUM(H27:H27)</f>
        <v>87</v>
      </c>
      <c r="J28" s="567">
        <v>98</v>
      </c>
    </row>
    <row r="29" spans="1:10" s="580" customFormat="1" ht="51.75" customHeight="1">
      <c r="A29" s="581">
        <v>6</v>
      </c>
      <c r="B29" s="584" t="s">
        <v>1078</v>
      </c>
      <c r="C29" s="603" t="s">
        <v>1104</v>
      </c>
      <c r="D29" s="602" t="s">
        <v>1108</v>
      </c>
      <c r="J29" s="567">
        <v>12</v>
      </c>
    </row>
    <row r="30" spans="1:10" s="580" customFormat="1" ht="51.75" customHeight="1">
      <c r="A30" s="581">
        <v>4</v>
      </c>
      <c r="B30" s="584" t="s">
        <v>1000</v>
      </c>
      <c r="C30" s="601" t="s">
        <v>1105</v>
      </c>
      <c r="D30" s="602" t="s">
        <v>1108</v>
      </c>
      <c r="F30" s="580">
        <f>199*3</f>
        <v>597</v>
      </c>
      <c r="J30" s="567">
        <v>10</v>
      </c>
    </row>
    <row r="31" spans="1:10" s="580" customFormat="1" ht="51.75" customHeight="1">
      <c r="A31" s="581">
        <v>3</v>
      </c>
      <c r="B31" s="584" t="s">
        <v>999</v>
      </c>
      <c r="C31" s="601" t="s">
        <v>1106</v>
      </c>
      <c r="D31" s="602" t="s">
        <v>1108</v>
      </c>
      <c r="F31" s="567">
        <v>122</v>
      </c>
      <c r="J31" s="608">
        <f>SUM(J27:J30)</f>
        <v>327</v>
      </c>
    </row>
    <row r="32" spans="1:10" s="580" customFormat="1" ht="51.75" customHeight="1">
      <c r="A32" s="581">
        <v>5</v>
      </c>
      <c r="B32" s="584" t="s">
        <v>1073</v>
      </c>
      <c r="C32" s="603" t="s">
        <v>1107</v>
      </c>
      <c r="D32" s="602" t="s">
        <v>1108</v>
      </c>
      <c r="F32" s="567">
        <v>99</v>
      </c>
    </row>
    <row r="33" spans="1:10" s="580" customFormat="1" ht="51.75" customHeight="1">
      <c r="A33" s="581">
        <v>7</v>
      </c>
      <c r="B33" s="584" t="s">
        <v>1074</v>
      </c>
      <c r="C33" s="603" t="s">
        <v>1075</v>
      </c>
      <c r="D33" s="602" t="s">
        <v>1108</v>
      </c>
      <c r="F33" s="567">
        <v>18</v>
      </c>
    </row>
    <row r="34" spans="1:10" s="580" customFormat="1" ht="27.75">
      <c r="C34" s="596"/>
      <c r="F34" s="567">
        <v>24</v>
      </c>
    </row>
    <row r="35" spans="1:10" s="580" customFormat="1" ht="27.75">
      <c r="C35" s="596"/>
      <c r="F35" s="608">
        <f>SUM(F31:F34)</f>
        <v>263</v>
      </c>
    </row>
    <row r="36" spans="1:10" s="580" customFormat="1" ht="27.75">
      <c r="C36" s="596"/>
    </row>
    <row r="37" spans="1:10" s="580" customFormat="1" ht="27.75">
      <c r="C37" s="596"/>
    </row>
    <row r="38" spans="1:10" s="580" customFormat="1" ht="50.25" customHeight="1">
      <c r="A38" s="778" t="s">
        <v>1109</v>
      </c>
      <c r="B38" s="778"/>
      <c r="C38" s="778"/>
      <c r="D38" s="778"/>
    </row>
    <row r="39" spans="1:10" s="606" customFormat="1" ht="72" customHeight="1">
      <c r="A39" s="604" t="s">
        <v>933</v>
      </c>
      <c r="B39" s="604" t="s">
        <v>929</v>
      </c>
      <c r="C39" s="605" t="s">
        <v>1032</v>
      </c>
      <c r="D39" s="605" t="s">
        <v>1071</v>
      </c>
    </row>
    <row r="40" spans="1:10" s="580" customFormat="1" ht="51.75" customHeight="1">
      <c r="A40" s="581">
        <v>1</v>
      </c>
      <c r="B40" s="582" t="s">
        <v>1072</v>
      </c>
      <c r="C40" s="601" t="s">
        <v>1111</v>
      </c>
      <c r="D40" s="602" t="s">
        <v>1110</v>
      </c>
      <c r="F40" s="580">
        <v>207</v>
      </c>
      <c r="H40" s="583">
        <v>87</v>
      </c>
      <c r="J40" s="567">
        <v>207</v>
      </c>
    </row>
    <row r="41" spans="1:10" s="580" customFormat="1" ht="51.75" customHeight="1">
      <c r="A41" s="581">
        <v>2</v>
      </c>
      <c r="B41" s="584" t="s">
        <v>993</v>
      </c>
      <c r="C41" s="601" t="s">
        <v>1112</v>
      </c>
      <c r="D41" s="602" t="s">
        <v>1110</v>
      </c>
      <c r="F41" s="580">
        <f>SUM(F40:F40)</f>
        <v>207</v>
      </c>
      <c r="H41" s="585">
        <f>SUM(H40:H40)</f>
        <v>87</v>
      </c>
      <c r="J41" s="567">
        <v>98</v>
      </c>
    </row>
    <row r="42" spans="1:10" s="580" customFormat="1" ht="51.75" customHeight="1">
      <c r="A42" s="581">
        <v>6</v>
      </c>
      <c r="B42" s="584" t="s">
        <v>1078</v>
      </c>
      <c r="C42" s="603" t="s">
        <v>1113</v>
      </c>
      <c r="D42" s="602" t="s">
        <v>1110</v>
      </c>
      <c r="J42" s="567">
        <v>12</v>
      </c>
    </row>
    <row r="43" spans="1:10" s="580" customFormat="1" ht="51.75" customHeight="1">
      <c r="A43" s="581">
        <v>4</v>
      </c>
      <c r="B43" s="584" t="s">
        <v>1000</v>
      </c>
      <c r="C43" s="601" t="s">
        <v>1114</v>
      </c>
      <c r="D43" s="602" t="s">
        <v>1110</v>
      </c>
      <c r="F43" s="580">
        <f>199*3</f>
        <v>597</v>
      </c>
      <c r="J43" s="567">
        <v>10</v>
      </c>
    </row>
    <row r="44" spans="1:10" s="580" customFormat="1" ht="51.75" customHeight="1">
      <c r="A44" s="581">
        <v>3</v>
      </c>
      <c r="B44" s="584" t="s">
        <v>999</v>
      </c>
      <c r="C44" s="601" t="s">
        <v>1115</v>
      </c>
      <c r="D44" s="602" t="s">
        <v>1110</v>
      </c>
      <c r="F44" s="567">
        <v>122</v>
      </c>
      <c r="J44" s="608">
        <f>SUM(J40:J43)</f>
        <v>327</v>
      </c>
    </row>
    <row r="45" spans="1:10" s="580" customFormat="1" ht="51.75" customHeight="1">
      <c r="A45" s="581">
        <v>5</v>
      </c>
      <c r="B45" s="584" t="s">
        <v>1073</v>
      </c>
      <c r="C45" s="603" t="s">
        <v>1116</v>
      </c>
      <c r="D45" s="602" t="s">
        <v>1110</v>
      </c>
      <c r="F45" s="567">
        <v>99</v>
      </c>
    </row>
    <row r="46" spans="1:10" s="580" customFormat="1" ht="51.75" customHeight="1">
      <c r="A46" s="581">
        <v>7</v>
      </c>
      <c r="B46" s="584" t="s">
        <v>1074</v>
      </c>
      <c r="C46" s="603" t="s">
        <v>1075</v>
      </c>
      <c r="D46" s="602" t="s">
        <v>1110</v>
      </c>
      <c r="F46" s="567">
        <v>18</v>
      </c>
      <c r="H46" s="567">
        <v>82</v>
      </c>
    </row>
    <row r="47" spans="1:10" s="580" customFormat="1" ht="27.75">
      <c r="C47" s="596"/>
      <c r="H47" s="567">
        <v>29</v>
      </c>
    </row>
    <row r="48" spans="1:10" s="580" customFormat="1" ht="27.75">
      <c r="C48" s="596"/>
      <c r="H48" s="567">
        <v>1</v>
      </c>
    </row>
    <row r="49" spans="1:8" s="580" customFormat="1" ht="27.75">
      <c r="C49" s="596"/>
      <c r="H49" s="567">
        <v>11</v>
      </c>
    </row>
    <row r="50" spans="1:8" s="580" customFormat="1" ht="27.75">
      <c r="C50" s="597"/>
      <c r="D50" s="586"/>
      <c r="H50" s="608">
        <f>SUM(H46:H49)</f>
        <v>123</v>
      </c>
    </row>
    <row r="51" spans="1:8" s="580" customFormat="1" ht="27.75">
      <c r="C51" s="598"/>
      <c r="D51" s="587"/>
    </row>
    <row r="52" spans="1:8" ht="27.75">
      <c r="A52" s="777" t="s">
        <v>1022</v>
      </c>
      <c r="B52" s="777"/>
      <c r="C52" s="599"/>
      <c r="D52" s="588"/>
    </row>
    <row r="53" spans="1:8" s="587" customFormat="1" ht="27.75">
      <c r="A53" s="581" t="s">
        <v>1</v>
      </c>
      <c r="B53" s="581" t="s">
        <v>988</v>
      </c>
      <c r="C53" s="599"/>
      <c r="D53" s="588"/>
    </row>
    <row r="54" spans="1:8" s="588" customFormat="1" ht="27.75">
      <c r="A54" s="581">
        <v>1</v>
      </c>
      <c r="B54" s="584" t="s">
        <v>990</v>
      </c>
      <c r="C54" s="599"/>
    </row>
    <row r="55" spans="1:8" s="588" customFormat="1" ht="27.75">
      <c r="A55" s="581">
        <v>2</v>
      </c>
      <c r="B55" s="584" t="s">
        <v>991</v>
      </c>
      <c r="C55" s="599"/>
    </row>
    <row r="56" spans="1:8" s="588" customFormat="1" ht="27.75">
      <c r="A56" s="581">
        <v>3</v>
      </c>
      <c r="B56" s="584" t="s">
        <v>992</v>
      </c>
      <c r="C56" s="597"/>
      <c r="D56" s="586"/>
    </row>
    <row r="57" spans="1:8" s="588" customFormat="1" ht="27.75">
      <c r="A57" s="581">
        <v>4</v>
      </c>
      <c r="B57" s="584" t="s">
        <v>993</v>
      </c>
      <c r="C57" s="597"/>
      <c r="D57" s="586"/>
    </row>
    <row r="58" spans="1:8" ht="27.75">
      <c r="A58" s="581">
        <v>5</v>
      </c>
      <c r="B58" s="584" t="s">
        <v>994</v>
      </c>
    </row>
    <row r="59" spans="1:8" ht="27.75">
      <c r="A59" s="581">
        <v>6</v>
      </c>
      <c r="B59" s="589" t="s">
        <v>995</v>
      </c>
    </row>
    <row r="60" spans="1:8" ht="27.75">
      <c r="A60" s="581">
        <v>7</v>
      </c>
      <c r="B60" s="584" t="s">
        <v>996</v>
      </c>
    </row>
    <row r="61" spans="1:8" ht="27.75">
      <c r="A61" s="581">
        <v>8</v>
      </c>
      <c r="B61" s="584" t="s">
        <v>997</v>
      </c>
    </row>
    <row r="62" spans="1:8" ht="27.75">
      <c r="A62" s="581">
        <v>9</v>
      </c>
      <c r="B62" s="589" t="s">
        <v>998</v>
      </c>
    </row>
    <row r="63" spans="1:8" ht="27.75">
      <c r="A63" s="581">
        <v>10</v>
      </c>
      <c r="B63" s="584" t="s">
        <v>999</v>
      </c>
    </row>
    <row r="64" spans="1:8" ht="27.75">
      <c r="A64" s="581">
        <v>11</v>
      </c>
      <c r="B64" s="584" t="s">
        <v>1000</v>
      </c>
    </row>
    <row r="65" spans="1:2" ht="27.75">
      <c r="A65" s="581">
        <v>12</v>
      </c>
      <c r="B65" s="584" t="s">
        <v>1001</v>
      </c>
    </row>
    <row r="66" spans="1:2" ht="55.5">
      <c r="A66" s="581">
        <v>13</v>
      </c>
      <c r="B66" s="590" t="s">
        <v>1002</v>
      </c>
    </row>
    <row r="67" spans="1:2" ht="27.75">
      <c r="A67" s="581">
        <v>14</v>
      </c>
      <c r="B67" s="584" t="s">
        <v>1003</v>
      </c>
    </row>
    <row r="68" spans="1:2" ht="27.75">
      <c r="A68" s="581">
        <v>15</v>
      </c>
      <c r="B68" s="584" t="s">
        <v>1004</v>
      </c>
    </row>
    <row r="69" spans="1:2" ht="32.25">
      <c r="A69" s="581">
        <v>16</v>
      </c>
      <c r="B69" s="584" t="s">
        <v>1079</v>
      </c>
    </row>
    <row r="70" spans="1:2" ht="32.25">
      <c r="A70" s="581">
        <v>17</v>
      </c>
      <c r="B70" s="584" t="s">
        <v>1080</v>
      </c>
    </row>
    <row r="71" spans="1:2" ht="32.25">
      <c r="A71" s="581">
        <v>18</v>
      </c>
      <c r="B71" s="584" t="s">
        <v>1081</v>
      </c>
    </row>
    <row r="72" spans="1:2" ht="32.25">
      <c r="A72" s="581">
        <v>19</v>
      </c>
      <c r="B72" s="584" t="s">
        <v>1082</v>
      </c>
    </row>
    <row r="73" spans="1:2" ht="27.75">
      <c r="A73" s="581">
        <v>20</v>
      </c>
      <c r="B73" s="591" t="s">
        <v>1005</v>
      </c>
    </row>
    <row r="74" spans="1:2" ht="27.75">
      <c r="A74" s="581">
        <v>21</v>
      </c>
      <c r="B74" s="591" t="s">
        <v>1023</v>
      </c>
    </row>
    <row r="75" spans="1:2" ht="27.75">
      <c r="A75" s="581">
        <v>22</v>
      </c>
      <c r="B75" s="591" t="s">
        <v>1007</v>
      </c>
    </row>
    <row r="76" spans="1:2" ht="27.75">
      <c r="A76" s="581">
        <v>23</v>
      </c>
      <c r="B76" s="584" t="s">
        <v>1008</v>
      </c>
    </row>
    <row r="77" spans="1:2" ht="32.25">
      <c r="A77" s="581">
        <v>24</v>
      </c>
      <c r="B77" s="584" t="s">
        <v>1083</v>
      </c>
    </row>
    <row r="78" spans="1:2" ht="32.25">
      <c r="A78" s="581">
        <v>25</v>
      </c>
      <c r="B78" s="584" t="s">
        <v>1084</v>
      </c>
    </row>
    <row r="79" spans="1:2" ht="27.75">
      <c r="A79" s="581">
        <v>26</v>
      </c>
      <c r="B79" s="584" t="s">
        <v>1009</v>
      </c>
    </row>
    <row r="80" spans="1:2" ht="32.25">
      <c r="A80" s="581">
        <v>27</v>
      </c>
      <c r="B80" s="584" t="s">
        <v>1085</v>
      </c>
    </row>
    <row r="81" spans="1:2" ht="32.25">
      <c r="A81" s="581">
        <v>28</v>
      </c>
      <c r="B81" s="584" t="s">
        <v>1086</v>
      </c>
    </row>
    <row r="82" spans="1:2" ht="32.25">
      <c r="A82" s="581">
        <v>29</v>
      </c>
      <c r="B82" s="584" t="s">
        <v>1087</v>
      </c>
    </row>
    <row r="83" spans="1:2" ht="32.25">
      <c r="A83" s="581">
        <v>30</v>
      </c>
      <c r="B83" s="584" t="s">
        <v>1088</v>
      </c>
    </row>
    <row r="84" spans="1:2" ht="27.75">
      <c r="A84" s="581">
        <v>31</v>
      </c>
      <c r="B84" s="584" t="s">
        <v>1010</v>
      </c>
    </row>
    <row r="85" spans="1:2" ht="27.75">
      <c r="A85" s="581">
        <v>32</v>
      </c>
      <c r="B85" s="584" t="s">
        <v>1011</v>
      </c>
    </row>
    <row r="86" spans="1:2" ht="32.25">
      <c r="A86" s="581">
        <v>33</v>
      </c>
      <c r="B86" s="584" t="s">
        <v>1089</v>
      </c>
    </row>
    <row r="87" spans="1:2" ht="32.25">
      <c r="A87" s="581">
        <v>34</v>
      </c>
      <c r="B87" s="584" t="s">
        <v>1078</v>
      </c>
    </row>
    <row r="88" spans="1:2" ht="27.75">
      <c r="A88" s="581">
        <v>35</v>
      </c>
      <c r="B88" s="584" t="s">
        <v>1012</v>
      </c>
    </row>
    <row r="89" spans="1:2" ht="27.75">
      <c r="A89" s="581">
        <v>36</v>
      </c>
      <c r="B89" s="584" t="s">
        <v>1024</v>
      </c>
    </row>
    <row r="90" spans="1:2" ht="27.75">
      <c r="A90" s="581">
        <v>37</v>
      </c>
      <c r="B90" s="584" t="s">
        <v>1013</v>
      </c>
    </row>
    <row r="91" spans="1:2" ht="27.75">
      <c r="A91" s="581">
        <v>38</v>
      </c>
      <c r="B91" s="584" t="s">
        <v>1014</v>
      </c>
    </row>
    <row r="92" spans="1:2" ht="27.75">
      <c r="A92" s="581">
        <v>39</v>
      </c>
      <c r="B92" s="584" t="s">
        <v>1015</v>
      </c>
    </row>
    <row r="93" spans="1:2" ht="27.75">
      <c r="A93" s="581">
        <v>40</v>
      </c>
      <c r="B93" s="584" t="s">
        <v>1016</v>
      </c>
    </row>
    <row r="94" spans="1:2" ht="27.75">
      <c r="A94" s="581">
        <v>41</v>
      </c>
      <c r="B94" s="592" t="s">
        <v>1025</v>
      </c>
    </row>
    <row r="95" spans="1:2" ht="27.75">
      <c r="A95" s="581">
        <v>42</v>
      </c>
      <c r="B95" s="592" t="s">
        <v>1026</v>
      </c>
    </row>
    <row r="96" spans="1:2" ht="27.75">
      <c r="A96" s="581">
        <v>43</v>
      </c>
      <c r="B96" s="592" t="s">
        <v>1017</v>
      </c>
    </row>
    <row r="97" spans="1:4" ht="27.75">
      <c r="A97" s="581">
        <v>44</v>
      </c>
      <c r="B97" s="592" t="s">
        <v>1027</v>
      </c>
    </row>
    <row r="98" spans="1:4" ht="27.75">
      <c r="A98" s="581">
        <v>45</v>
      </c>
      <c r="B98" s="592" t="s">
        <v>1028</v>
      </c>
    </row>
    <row r="99" spans="1:4" ht="27.75">
      <c r="A99" s="581">
        <v>46</v>
      </c>
      <c r="B99" s="592" t="s">
        <v>1018</v>
      </c>
    </row>
    <row r="100" spans="1:4" ht="27.75">
      <c r="A100" s="581">
        <v>47</v>
      </c>
      <c r="B100" s="592" t="s">
        <v>1019</v>
      </c>
    </row>
    <row r="101" spans="1:4" ht="27.75">
      <c r="A101" s="581">
        <v>48</v>
      </c>
      <c r="B101" s="592" t="s">
        <v>1029</v>
      </c>
      <c r="C101" s="598"/>
      <c r="D101" s="587"/>
    </row>
    <row r="102" spans="1:4" ht="27.75">
      <c r="A102" s="581">
        <v>49</v>
      </c>
      <c r="B102" s="592" t="s">
        <v>1030</v>
      </c>
      <c r="C102" s="598"/>
      <c r="D102" s="587"/>
    </row>
    <row r="103" spans="1:4" s="587" customFormat="1" ht="83.25">
      <c r="A103" s="593">
        <v>50</v>
      </c>
      <c r="B103" s="590" t="s">
        <v>1020</v>
      </c>
      <c r="C103" s="600"/>
      <c r="D103" s="594"/>
    </row>
    <row r="104" spans="1:4" s="587" customFormat="1" ht="27.75">
      <c r="A104" s="581">
        <v>51</v>
      </c>
      <c r="B104" s="584" t="s">
        <v>1021</v>
      </c>
      <c r="C104" s="597"/>
      <c r="D104" s="586"/>
    </row>
    <row r="105" spans="1:4" s="594" customFormat="1" ht="27.75">
      <c r="A105" s="595"/>
      <c r="B105" s="595" t="s">
        <v>931</v>
      </c>
      <c r="C105" s="597"/>
      <c r="D105" s="586"/>
    </row>
    <row r="106" spans="1:4" ht="27.75">
      <c r="A106" s="592"/>
      <c r="B106" s="592"/>
    </row>
  </sheetData>
  <mergeCells count="5">
    <mergeCell ref="A52:B52"/>
    <mergeCell ref="A13:D13"/>
    <mergeCell ref="A25:D25"/>
    <mergeCell ref="A38:D38"/>
    <mergeCell ref="A1:D1"/>
  </mergeCells>
  <pageMargins left="0.2" right="0" top="0.25" bottom="0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10" zoomScale="85" zoomScaleNormal="85" workbookViewId="0">
      <selection activeCell="N16" sqref="N16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0" t="s">
        <v>914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3" s="478" customFormat="1" ht="30.75" customHeight="1">
      <c r="A2" s="625" t="s">
        <v>920</v>
      </c>
      <c r="B2" s="625" t="s">
        <v>865</v>
      </c>
      <c r="C2" s="613" t="s">
        <v>887</v>
      </c>
      <c r="D2" s="637" t="s">
        <v>922</v>
      </c>
      <c r="E2" s="638"/>
      <c r="F2" s="636" t="s">
        <v>923</v>
      </c>
      <c r="G2" s="636" t="s">
        <v>924</v>
      </c>
      <c r="H2" s="636" t="s">
        <v>925</v>
      </c>
      <c r="I2" s="636" t="s">
        <v>926</v>
      </c>
      <c r="J2" s="641" t="s">
        <v>919</v>
      </c>
    </row>
    <row r="3" spans="1:13" s="478" customFormat="1" ht="30.75" customHeight="1">
      <c r="A3" s="626"/>
      <c r="B3" s="626"/>
      <c r="C3" s="613"/>
      <c r="D3" s="639"/>
      <c r="E3" s="640"/>
      <c r="F3" s="636"/>
      <c r="G3" s="636"/>
      <c r="H3" s="636"/>
      <c r="I3" s="636"/>
      <c r="J3" s="641"/>
    </row>
    <row r="4" spans="1:13" ht="24.95" customHeight="1">
      <c r="A4" s="496">
        <v>1</v>
      </c>
      <c r="B4" s="498" t="s">
        <v>871</v>
      </c>
      <c r="C4" s="625">
        <v>259</v>
      </c>
      <c r="D4" s="472">
        <v>1</v>
      </c>
      <c r="E4" s="474" t="s">
        <v>871</v>
      </c>
      <c r="F4" s="472">
        <v>12</v>
      </c>
      <c r="G4" s="472"/>
      <c r="H4" s="472">
        <f>F4+G4</f>
        <v>12</v>
      </c>
      <c r="I4" s="625">
        <f>C4-(H4+H5+H6)</f>
        <v>181</v>
      </c>
      <c r="J4" s="472"/>
    </row>
    <row r="5" spans="1:13" ht="24.95" customHeight="1">
      <c r="A5" s="496"/>
      <c r="B5" s="498"/>
      <c r="C5" s="635"/>
      <c r="D5" s="472">
        <v>2</v>
      </c>
      <c r="E5" s="474" t="s">
        <v>891</v>
      </c>
      <c r="F5" s="472">
        <v>49</v>
      </c>
      <c r="G5" s="472"/>
      <c r="H5" s="472">
        <f t="shared" ref="H5:H16" si="0">F5+G5</f>
        <v>49</v>
      </c>
      <c r="I5" s="635"/>
      <c r="J5" s="472"/>
    </row>
    <row r="6" spans="1:13" ht="24.95" customHeight="1">
      <c r="A6" s="494"/>
      <c r="B6" s="473"/>
      <c r="C6" s="626"/>
      <c r="D6" s="472">
        <v>3</v>
      </c>
      <c r="E6" s="474" t="s">
        <v>892</v>
      </c>
      <c r="F6" s="472">
        <v>17</v>
      </c>
      <c r="G6" s="472"/>
      <c r="H6" s="472">
        <f t="shared" si="0"/>
        <v>17</v>
      </c>
      <c r="I6" s="626"/>
      <c r="J6" s="472"/>
      <c r="M6" s="477" t="e">
        <f>C4-#REF!</f>
        <v>#REF!</v>
      </c>
    </row>
    <row r="7" spans="1:13" ht="24.95" customHeight="1">
      <c r="A7" s="479">
        <v>2</v>
      </c>
      <c r="B7" s="474" t="s">
        <v>893</v>
      </c>
      <c r="C7" s="479">
        <v>229</v>
      </c>
      <c r="D7" s="472">
        <v>4</v>
      </c>
      <c r="E7" s="474" t="s">
        <v>893</v>
      </c>
      <c r="F7" s="472">
        <v>7</v>
      </c>
      <c r="G7" s="472">
        <v>4</v>
      </c>
      <c r="H7" s="472">
        <f t="shared" si="0"/>
        <v>11</v>
      </c>
      <c r="I7" s="472">
        <f>C7-H7</f>
        <v>218</v>
      </c>
      <c r="J7" s="472"/>
    </row>
    <row r="8" spans="1:13" ht="24.95" customHeight="1">
      <c r="A8" s="492">
        <v>3</v>
      </c>
      <c r="B8" s="493" t="s">
        <v>873</v>
      </c>
      <c r="C8" s="625">
        <v>208</v>
      </c>
      <c r="D8" s="472">
        <v>5</v>
      </c>
      <c r="E8" s="474" t="s">
        <v>873</v>
      </c>
      <c r="F8" s="472">
        <v>28</v>
      </c>
      <c r="G8" s="472"/>
      <c r="H8" s="472">
        <f t="shared" si="0"/>
        <v>28</v>
      </c>
      <c r="I8" s="625">
        <f>C8-(H8+H9)</f>
        <v>154</v>
      </c>
      <c r="J8" s="472"/>
    </row>
    <row r="9" spans="1:13" ht="24.95" customHeight="1">
      <c r="A9" s="494"/>
      <c r="B9" s="473"/>
      <c r="C9" s="626"/>
      <c r="D9" s="472">
        <v>6</v>
      </c>
      <c r="E9" s="474" t="s">
        <v>874</v>
      </c>
      <c r="F9" s="472">
        <v>26</v>
      </c>
      <c r="G9" s="472"/>
      <c r="H9" s="472">
        <f t="shared" si="0"/>
        <v>26</v>
      </c>
      <c r="I9" s="626"/>
      <c r="J9" s="472"/>
    </row>
    <row r="10" spans="1:13" ht="24.95" customHeight="1">
      <c r="A10" s="492">
        <v>4</v>
      </c>
      <c r="B10" s="493" t="s">
        <v>875</v>
      </c>
      <c r="C10" s="625">
        <v>241</v>
      </c>
      <c r="D10" s="472">
        <v>7</v>
      </c>
      <c r="E10" s="474" t="s">
        <v>875</v>
      </c>
      <c r="F10" s="472">
        <v>54</v>
      </c>
      <c r="G10" s="472"/>
      <c r="H10" s="472">
        <f t="shared" si="0"/>
        <v>54</v>
      </c>
      <c r="I10" s="625">
        <f>C10-(H10+H11)</f>
        <v>169</v>
      </c>
      <c r="J10" s="472"/>
    </row>
    <row r="11" spans="1:13" ht="24.95" customHeight="1">
      <c r="A11" s="494"/>
      <c r="B11" s="473"/>
      <c r="C11" s="626"/>
      <c r="D11" s="472">
        <v>8</v>
      </c>
      <c r="E11" s="474" t="s">
        <v>894</v>
      </c>
      <c r="F11" s="472">
        <v>18</v>
      </c>
      <c r="G11" s="472"/>
      <c r="H11" s="472">
        <f t="shared" si="0"/>
        <v>18</v>
      </c>
      <c r="I11" s="626"/>
      <c r="J11" s="472"/>
    </row>
    <row r="12" spans="1:13" ht="24.95" customHeight="1">
      <c r="A12" s="492">
        <v>5</v>
      </c>
      <c r="B12" s="493" t="s">
        <v>895</v>
      </c>
      <c r="C12" s="625">
        <v>338</v>
      </c>
      <c r="D12" s="472">
        <v>9</v>
      </c>
      <c r="E12" s="474" t="s">
        <v>895</v>
      </c>
      <c r="F12" s="472">
        <v>20</v>
      </c>
      <c r="G12" s="472">
        <v>4</v>
      </c>
      <c r="H12" s="472">
        <f t="shared" si="0"/>
        <v>24</v>
      </c>
      <c r="I12" s="625">
        <f>C12-SUM(H12:H15)</f>
        <v>220</v>
      </c>
      <c r="J12" s="472"/>
    </row>
    <row r="13" spans="1:13" ht="24.95" customHeight="1">
      <c r="A13" s="499"/>
      <c r="B13" s="498"/>
      <c r="C13" s="635"/>
      <c r="D13" s="472">
        <v>10</v>
      </c>
      <c r="E13" s="474" t="s">
        <v>896</v>
      </c>
      <c r="F13" s="472">
        <v>31</v>
      </c>
      <c r="G13" s="472"/>
      <c r="H13" s="472">
        <f t="shared" si="0"/>
        <v>31</v>
      </c>
      <c r="I13" s="635"/>
      <c r="J13" s="472"/>
    </row>
    <row r="14" spans="1:13" ht="24.95" customHeight="1">
      <c r="A14" s="499"/>
      <c r="B14" s="498"/>
      <c r="C14" s="635"/>
      <c r="D14" s="472">
        <v>11</v>
      </c>
      <c r="E14" s="474" t="s">
        <v>897</v>
      </c>
      <c r="F14" s="472">
        <v>33</v>
      </c>
      <c r="G14" s="472"/>
      <c r="H14" s="472">
        <f t="shared" si="0"/>
        <v>33</v>
      </c>
      <c r="I14" s="635"/>
      <c r="J14" s="472"/>
    </row>
    <row r="15" spans="1:13" ht="24.95" customHeight="1">
      <c r="A15" s="470"/>
      <c r="B15" s="473"/>
      <c r="C15" s="626"/>
      <c r="D15" s="472">
        <v>12</v>
      </c>
      <c r="E15" s="474" t="s">
        <v>876</v>
      </c>
      <c r="F15" s="472">
        <v>30</v>
      </c>
      <c r="G15" s="472"/>
      <c r="H15" s="472">
        <f t="shared" si="0"/>
        <v>30</v>
      </c>
      <c r="I15" s="626"/>
      <c r="J15" s="472"/>
    </row>
    <row r="16" spans="1:13" ht="24.95" customHeight="1">
      <c r="A16" s="472">
        <v>6</v>
      </c>
      <c r="B16" s="474" t="s">
        <v>898</v>
      </c>
      <c r="C16" s="479">
        <v>297</v>
      </c>
      <c r="D16" s="472">
        <v>13</v>
      </c>
      <c r="E16" s="474" t="s">
        <v>898</v>
      </c>
      <c r="F16" s="472">
        <v>56</v>
      </c>
      <c r="G16" s="472">
        <v>14</v>
      </c>
      <c r="H16" s="472">
        <f t="shared" si="0"/>
        <v>70</v>
      </c>
      <c r="I16" s="472">
        <f>C16-H16</f>
        <v>227</v>
      </c>
      <c r="J16" s="472"/>
    </row>
    <row r="17" spans="1:10" ht="24.95" customHeight="1">
      <c r="A17" s="617" t="s">
        <v>877</v>
      </c>
      <c r="B17" s="619"/>
      <c r="C17" s="494">
        <f>SUM(C4:C16)</f>
        <v>1572</v>
      </c>
      <c r="D17" s="502"/>
      <c r="E17" s="503"/>
      <c r="F17" s="472">
        <f>SUM(F4:F16)</f>
        <v>381</v>
      </c>
      <c r="G17" s="472">
        <f>SUM(G4:G16)</f>
        <v>22</v>
      </c>
      <c r="H17" s="472">
        <f>SUM(H4:H16)</f>
        <v>403</v>
      </c>
      <c r="I17" s="472">
        <f>C17-H17</f>
        <v>1169</v>
      </c>
      <c r="J17" s="472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00"/>
      <c r="D19" s="482"/>
      <c r="E19" s="482"/>
      <c r="I19" s="477">
        <f>I17-734</f>
        <v>435</v>
      </c>
    </row>
    <row r="20" spans="1:10" ht="27.75" customHeight="1">
      <c r="A20" s="482"/>
      <c r="B20" s="482"/>
      <c r="C20" s="500"/>
      <c r="D20" s="482"/>
      <c r="E20" s="482"/>
    </row>
    <row r="21" spans="1:10" ht="27.75" customHeight="1">
      <c r="A21" s="482"/>
      <c r="B21" s="482"/>
      <c r="C21" s="500"/>
      <c r="D21" s="482"/>
      <c r="E21" s="482"/>
    </row>
    <row r="22" spans="1:10" ht="48.75" customHeight="1">
      <c r="A22" s="630" t="s">
        <v>914</v>
      </c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0" s="478" customFormat="1" ht="30.75" customHeight="1">
      <c r="A23" s="625" t="s">
        <v>920</v>
      </c>
      <c r="B23" s="625" t="s">
        <v>865</v>
      </c>
      <c r="C23" s="613" t="s">
        <v>915</v>
      </c>
      <c r="D23" s="637" t="s">
        <v>886</v>
      </c>
      <c r="E23" s="638"/>
      <c r="F23" s="636" t="s">
        <v>921</v>
      </c>
      <c r="G23" s="636" t="s">
        <v>916</v>
      </c>
      <c r="H23" s="636" t="s">
        <v>918</v>
      </c>
      <c r="I23" s="636" t="s">
        <v>917</v>
      </c>
      <c r="J23" s="641" t="s">
        <v>919</v>
      </c>
    </row>
    <row r="24" spans="1:10" s="478" customFormat="1" ht="30.75" customHeight="1">
      <c r="A24" s="626"/>
      <c r="B24" s="626"/>
      <c r="C24" s="613"/>
      <c r="D24" s="639"/>
      <c r="E24" s="640"/>
      <c r="F24" s="636"/>
      <c r="G24" s="636"/>
      <c r="H24" s="636"/>
      <c r="I24" s="636"/>
      <c r="J24" s="641"/>
    </row>
    <row r="25" spans="1:10" ht="24.95" customHeight="1">
      <c r="A25" s="492">
        <v>1</v>
      </c>
      <c r="B25" s="493" t="s">
        <v>878</v>
      </c>
      <c r="C25" s="625">
        <v>262</v>
      </c>
      <c r="D25" s="479">
        <v>1</v>
      </c>
      <c r="E25" s="474" t="s">
        <v>878</v>
      </c>
      <c r="F25" s="472">
        <v>24</v>
      </c>
      <c r="G25" s="472"/>
      <c r="H25" s="472">
        <f>F25+G25</f>
        <v>24</v>
      </c>
      <c r="I25" s="625">
        <f>C25-(H25+H26)</f>
        <v>222</v>
      </c>
      <c r="J25" s="472"/>
    </row>
    <row r="26" spans="1:10" ht="24.95" customHeight="1">
      <c r="A26" s="494"/>
      <c r="B26" s="495"/>
      <c r="C26" s="626"/>
      <c r="D26" s="479">
        <v>2</v>
      </c>
      <c r="E26" s="474" t="s">
        <v>902</v>
      </c>
      <c r="F26" s="472">
        <v>16</v>
      </c>
      <c r="G26" s="472"/>
      <c r="H26" s="472">
        <f t="shared" ref="H26:H39" si="1">F26+G26</f>
        <v>16</v>
      </c>
      <c r="I26" s="626"/>
      <c r="J26" s="472"/>
    </row>
    <row r="27" spans="1:10" ht="24.95" customHeight="1">
      <c r="A27" s="492">
        <v>2</v>
      </c>
      <c r="B27" s="493" t="s">
        <v>903</v>
      </c>
      <c r="C27" s="625">
        <v>310</v>
      </c>
      <c r="D27" s="479">
        <v>3</v>
      </c>
      <c r="E27" s="474" t="s">
        <v>903</v>
      </c>
      <c r="F27" s="472">
        <v>9</v>
      </c>
      <c r="G27" s="472">
        <v>7</v>
      </c>
      <c r="H27" s="472">
        <f t="shared" si="1"/>
        <v>16</v>
      </c>
      <c r="I27" s="625">
        <f>C27-(H27+H28)</f>
        <v>277</v>
      </c>
      <c r="J27" s="472"/>
    </row>
    <row r="28" spans="1:10" ht="24.95" customHeight="1">
      <c r="A28" s="494"/>
      <c r="B28" s="495"/>
      <c r="C28" s="626"/>
      <c r="D28" s="479">
        <v>4</v>
      </c>
      <c r="E28" s="474" t="s">
        <v>904</v>
      </c>
      <c r="F28" s="472">
        <v>17</v>
      </c>
      <c r="G28" s="472"/>
      <c r="H28" s="472">
        <f t="shared" si="1"/>
        <v>17</v>
      </c>
      <c r="I28" s="626"/>
      <c r="J28" s="472"/>
    </row>
    <row r="29" spans="1:10" ht="24.95" customHeight="1">
      <c r="A29" s="492">
        <v>3</v>
      </c>
      <c r="B29" s="493" t="s">
        <v>879</v>
      </c>
      <c r="C29" s="625">
        <v>247</v>
      </c>
      <c r="D29" s="479">
        <v>5</v>
      </c>
      <c r="E29" s="474" t="s">
        <v>879</v>
      </c>
      <c r="F29" s="472">
        <v>34</v>
      </c>
      <c r="G29" s="472"/>
      <c r="H29" s="472">
        <f t="shared" si="1"/>
        <v>34</v>
      </c>
      <c r="I29" s="625">
        <f>C29-(H29+H30)</f>
        <v>197</v>
      </c>
      <c r="J29" s="472"/>
    </row>
    <row r="30" spans="1:10" ht="24.95" customHeight="1">
      <c r="A30" s="494"/>
      <c r="B30" s="495"/>
      <c r="C30" s="626"/>
      <c r="D30" s="479">
        <v>6</v>
      </c>
      <c r="E30" s="474" t="s">
        <v>905</v>
      </c>
      <c r="F30" s="472">
        <v>16</v>
      </c>
      <c r="G30" s="472"/>
      <c r="H30" s="472">
        <f t="shared" si="1"/>
        <v>16</v>
      </c>
      <c r="I30" s="626"/>
      <c r="J30" s="472"/>
    </row>
    <row r="31" spans="1:10" ht="24.95" customHeight="1">
      <c r="A31" s="492">
        <v>4</v>
      </c>
      <c r="B31" s="493" t="s">
        <v>906</v>
      </c>
      <c r="C31" s="625">
        <v>207</v>
      </c>
      <c r="D31" s="479">
        <v>7</v>
      </c>
      <c r="E31" s="474" t="s">
        <v>906</v>
      </c>
      <c r="F31" s="472"/>
      <c r="G31" s="472">
        <v>36</v>
      </c>
      <c r="H31" s="472">
        <f t="shared" si="1"/>
        <v>36</v>
      </c>
      <c r="I31" s="625">
        <f>C31-(H31+H32)</f>
        <v>164</v>
      </c>
      <c r="J31" s="472"/>
    </row>
    <row r="32" spans="1:10" ht="24.95" customHeight="1">
      <c r="A32" s="494"/>
      <c r="B32" s="495"/>
      <c r="C32" s="626"/>
      <c r="D32" s="479">
        <v>8</v>
      </c>
      <c r="E32" s="474" t="s">
        <v>907</v>
      </c>
      <c r="F32" s="472">
        <v>7</v>
      </c>
      <c r="G32" s="472"/>
      <c r="H32" s="472">
        <f t="shared" si="1"/>
        <v>7</v>
      </c>
      <c r="I32" s="626"/>
      <c r="J32" s="472"/>
    </row>
    <row r="33" spans="1:10" ht="24.95" customHeight="1">
      <c r="A33" s="492">
        <v>5</v>
      </c>
      <c r="B33" s="493" t="s">
        <v>908</v>
      </c>
      <c r="C33" s="625">
        <v>245</v>
      </c>
      <c r="D33" s="479">
        <v>9</v>
      </c>
      <c r="E33" s="474" t="s">
        <v>908</v>
      </c>
      <c r="F33" s="472">
        <v>23</v>
      </c>
      <c r="G33" s="472">
        <v>2</v>
      </c>
      <c r="H33" s="472">
        <f t="shared" si="1"/>
        <v>25</v>
      </c>
      <c r="I33" s="625">
        <f>C33-SUM(H33:H35)</f>
        <v>194</v>
      </c>
      <c r="J33" s="472"/>
    </row>
    <row r="34" spans="1:10" ht="24.95" customHeight="1">
      <c r="A34" s="496"/>
      <c r="B34" s="497"/>
      <c r="C34" s="635"/>
      <c r="D34" s="479">
        <v>10</v>
      </c>
      <c r="E34" s="474" t="s">
        <v>909</v>
      </c>
      <c r="F34" s="472">
        <v>13</v>
      </c>
      <c r="G34" s="472"/>
      <c r="H34" s="472">
        <f t="shared" si="1"/>
        <v>13</v>
      </c>
      <c r="I34" s="635"/>
      <c r="J34" s="472"/>
    </row>
    <row r="35" spans="1:10" ht="24.95" customHeight="1">
      <c r="A35" s="494"/>
      <c r="B35" s="495"/>
      <c r="C35" s="626"/>
      <c r="D35" s="479">
        <v>11</v>
      </c>
      <c r="E35" s="474" t="s">
        <v>910</v>
      </c>
      <c r="F35" s="472">
        <v>13</v>
      </c>
      <c r="G35" s="472"/>
      <c r="H35" s="472">
        <f t="shared" si="1"/>
        <v>13</v>
      </c>
      <c r="I35" s="626"/>
      <c r="J35" s="472"/>
    </row>
    <row r="36" spans="1:10" ht="24.95" customHeight="1">
      <c r="A36" s="479">
        <v>6</v>
      </c>
      <c r="B36" s="474" t="s">
        <v>911</v>
      </c>
      <c r="C36" s="479">
        <v>271</v>
      </c>
      <c r="D36" s="479">
        <v>12</v>
      </c>
      <c r="E36" s="474" t="s">
        <v>911</v>
      </c>
      <c r="F36" s="472">
        <v>27</v>
      </c>
      <c r="G36" s="472">
        <v>4</v>
      </c>
      <c r="H36" s="472">
        <f t="shared" si="1"/>
        <v>31</v>
      </c>
      <c r="I36" s="472">
        <f>C36-H36</f>
        <v>240</v>
      </c>
      <c r="J36" s="472"/>
    </row>
    <row r="37" spans="1:10" ht="24.95" customHeight="1">
      <c r="A37" s="479">
        <v>7</v>
      </c>
      <c r="B37" s="474" t="s">
        <v>912</v>
      </c>
      <c r="C37" s="479">
        <v>132</v>
      </c>
      <c r="D37" s="479">
        <v>13</v>
      </c>
      <c r="E37" s="474" t="s">
        <v>912</v>
      </c>
      <c r="F37" s="472">
        <v>42</v>
      </c>
      <c r="G37" s="472">
        <v>20</v>
      </c>
      <c r="H37" s="472">
        <f t="shared" si="1"/>
        <v>62</v>
      </c>
      <c r="I37" s="472">
        <f>C37-H37</f>
        <v>70</v>
      </c>
      <c r="J37" s="472"/>
    </row>
    <row r="38" spans="1:10" ht="24.95" customHeight="1">
      <c r="A38" s="492">
        <v>8</v>
      </c>
      <c r="B38" s="493" t="s">
        <v>913</v>
      </c>
      <c r="C38" s="625">
        <v>367</v>
      </c>
      <c r="D38" s="479">
        <v>14</v>
      </c>
      <c r="E38" s="474" t="s">
        <v>913</v>
      </c>
      <c r="F38" s="472">
        <v>38</v>
      </c>
      <c r="G38" s="472">
        <v>51</v>
      </c>
      <c r="H38" s="472">
        <f t="shared" si="1"/>
        <v>89</v>
      </c>
      <c r="I38" s="625">
        <f>C38-(H38+H39)</f>
        <v>263</v>
      </c>
      <c r="J38" s="472"/>
    </row>
    <row r="39" spans="1:10" ht="24.95" customHeight="1">
      <c r="A39" s="494"/>
      <c r="B39" s="495"/>
      <c r="C39" s="626"/>
      <c r="D39" s="479">
        <v>15</v>
      </c>
      <c r="E39" s="475" t="s">
        <v>880</v>
      </c>
      <c r="F39" s="472">
        <v>15</v>
      </c>
      <c r="G39" s="472"/>
      <c r="H39" s="472">
        <f t="shared" si="1"/>
        <v>15</v>
      </c>
      <c r="I39" s="626"/>
      <c r="J39" s="472"/>
    </row>
    <row r="40" spans="1:10" ht="45" customHeight="1">
      <c r="A40" s="622" t="s">
        <v>881</v>
      </c>
      <c r="B40" s="624"/>
      <c r="C40" s="479">
        <f>SUM(C25:C39)</f>
        <v>2041</v>
      </c>
      <c r="D40" s="469"/>
      <c r="E40" s="472"/>
      <c r="F40" s="472">
        <f>SUM(F25:F39)</f>
        <v>294</v>
      </c>
      <c r="G40" s="472">
        <f>SUM(G25:G39)</f>
        <v>120</v>
      </c>
      <c r="H40" s="472">
        <f>SUM(H25:H39)</f>
        <v>414</v>
      </c>
      <c r="I40" s="472">
        <f>SUM(I25:I39)</f>
        <v>1627</v>
      </c>
      <c r="J40" s="472"/>
    </row>
    <row r="41" spans="1:10" ht="45" customHeight="1">
      <c r="A41" s="642" t="s">
        <v>882</v>
      </c>
      <c r="B41" s="643"/>
      <c r="C41" s="501">
        <f>C40+C17</f>
        <v>3613</v>
      </c>
      <c r="D41" s="504"/>
      <c r="E41" s="501"/>
      <c r="F41" s="501">
        <f>F40+F17</f>
        <v>675</v>
      </c>
      <c r="G41" s="501">
        <f>G40+G17</f>
        <v>142</v>
      </c>
      <c r="H41" s="501">
        <f>H40+H17</f>
        <v>817</v>
      </c>
      <c r="I41" s="501">
        <f>I40+I17</f>
        <v>2796</v>
      </c>
      <c r="J41" s="489"/>
    </row>
  </sheetData>
  <mergeCells count="43">
    <mergeCell ref="A17:B17"/>
    <mergeCell ref="A40:B40"/>
    <mergeCell ref="A41:B41"/>
    <mergeCell ref="A23:A24"/>
    <mergeCell ref="B23:B24"/>
    <mergeCell ref="A22:J22"/>
    <mergeCell ref="J23:J24"/>
    <mergeCell ref="C23:C24"/>
    <mergeCell ref="D23:E24"/>
    <mergeCell ref="I27:I28"/>
    <mergeCell ref="I29:I30"/>
    <mergeCell ref="I31:I32"/>
    <mergeCell ref="I33:I35"/>
    <mergeCell ref="F23:F24"/>
    <mergeCell ref="G23:G24"/>
    <mergeCell ref="H23:H24"/>
    <mergeCell ref="I23:I24"/>
    <mergeCell ref="I38:I39"/>
    <mergeCell ref="C25:C26"/>
    <mergeCell ref="C27:C28"/>
    <mergeCell ref="C29:C30"/>
    <mergeCell ref="C31:C32"/>
    <mergeCell ref="C33:C35"/>
    <mergeCell ref="C38:C39"/>
    <mergeCell ref="I25:I26"/>
    <mergeCell ref="A1:J1"/>
    <mergeCell ref="I4:I6"/>
    <mergeCell ref="C4:C6"/>
    <mergeCell ref="C8:C9"/>
    <mergeCell ref="C10:C11"/>
    <mergeCell ref="J2:J3"/>
    <mergeCell ref="A2:A3"/>
    <mergeCell ref="B2:B3"/>
    <mergeCell ref="C12:C15"/>
    <mergeCell ref="I8:I9"/>
    <mergeCell ref="I10:I11"/>
    <mergeCell ref="I12:I15"/>
    <mergeCell ref="G2:G3"/>
    <mergeCell ref="H2:H3"/>
    <mergeCell ref="F2:F3"/>
    <mergeCell ref="I2:I3"/>
    <mergeCell ref="D2:E3"/>
    <mergeCell ref="C2:C3"/>
  </mergeCells>
  <pageMargins left="0.5" right="0" top="0.25" bottom="0" header="0" footer="0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1"/>
  <sheetViews>
    <sheetView zoomScale="85" zoomScaleNormal="85" workbookViewId="0">
      <selection activeCell="K8" sqref="K8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0" t="s">
        <v>1046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3" s="478" customFormat="1" ht="30.75" customHeight="1">
      <c r="A2" s="625" t="s">
        <v>920</v>
      </c>
      <c r="B2" s="625" t="s">
        <v>865</v>
      </c>
      <c r="C2" s="613" t="s">
        <v>887</v>
      </c>
      <c r="D2" s="637" t="s">
        <v>922</v>
      </c>
      <c r="E2" s="638"/>
      <c r="F2" s="636" t="s">
        <v>923</v>
      </c>
      <c r="G2" s="636" t="s">
        <v>1047</v>
      </c>
      <c r="H2" s="636" t="s">
        <v>1048</v>
      </c>
      <c r="I2" s="636" t="s">
        <v>926</v>
      </c>
      <c r="J2" s="641" t="s">
        <v>919</v>
      </c>
    </row>
    <row r="3" spans="1:13" s="478" customFormat="1" ht="30.75" customHeight="1">
      <c r="A3" s="626"/>
      <c r="B3" s="626"/>
      <c r="C3" s="613"/>
      <c r="D3" s="639"/>
      <c r="E3" s="640"/>
      <c r="F3" s="636"/>
      <c r="G3" s="636"/>
      <c r="H3" s="636"/>
      <c r="I3" s="636"/>
      <c r="J3" s="641"/>
    </row>
    <row r="4" spans="1:13" ht="24.95" customHeight="1">
      <c r="A4" s="496">
        <v>1</v>
      </c>
      <c r="B4" s="498" t="s">
        <v>871</v>
      </c>
      <c r="C4" s="625">
        <v>259</v>
      </c>
      <c r="D4" s="551">
        <v>1</v>
      </c>
      <c r="E4" s="474" t="s">
        <v>871</v>
      </c>
      <c r="F4" s="551">
        <v>12</v>
      </c>
      <c r="G4" s="551">
        <v>22</v>
      </c>
      <c r="H4" s="551">
        <f>F4+G4</f>
        <v>34</v>
      </c>
      <c r="I4" s="625">
        <f>C4-(H4+H5+H6)</f>
        <v>122</v>
      </c>
      <c r="J4" s="551"/>
    </row>
    <row r="5" spans="1:13" ht="24.95" customHeight="1">
      <c r="A5" s="496"/>
      <c r="B5" s="498"/>
      <c r="C5" s="635"/>
      <c r="D5" s="551">
        <v>2</v>
      </c>
      <c r="E5" s="474" t="s">
        <v>891</v>
      </c>
      <c r="F5" s="551">
        <v>49</v>
      </c>
      <c r="G5" s="551">
        <v>27</v>
      </c>
      <c r="H5" s="551">
        <f t="shared" ref="H5:H16" si="0">F5+G5</f>
        <v>76</v>
      </c>
      <c r="I5" s="635"/>
      <c r="J5" s="551"/>
    </row>
    <row r="6" spans="1:13" ht="24.95" customHeight="1">
      <c r="A6" s="494"/>
      <c r="B6" s="473"/>
      <c r="C6" s="626"/>
      <c r="D6" s="551">
        <v>3</v>
      </c>
      <c r="E6" s="474" t="s">
        <v>892</v>
      </c>
      <c r="F6" s="551">
        <v>17</v>
      </c>
      <c r="G6" s="551">
        <v>10</v>
      </c>
      <c r="H6" s="551">
        <f t="shared" si="0"/>
        <v>27</v>
      </c>
      <c r="I6" s="626"/>
      <c r="J6" s="551"/>
      <c r="M6" s="477" t="e">
        <f>C4-#REF!</f>
        <v>#REF!</v>
      </c>
    </row>
    <row r="7" spans="1:13" ht="24.95" customHeight="1">
      <c r="A7" s="558">
        <v>2</v>
      </c>
      <c r="B7" s="474" t="s">
        <v>893</v>
      </c>
      <c r="C7" s="558">
        <v>229</v>
      </c>
      <c r="D7" s="551">
        <v>4</v>
      </c>
      <c r="E7" s="474" t="s">
        <v>893</v>
      </c>
      <c r="F7" s="551">
        <v>7</v>
      </c>
      <c r="G7" s="551">
        <v>32</v>
      </c>
      <c r="H7" s="551">
        <f t="shared" si="0"/>
        <v>39</v>
      </c>
      <c r="I7" s="551">
        <f>C7-H7</f>
        <v>190</v>
      </c>
      <c r="J7" s="551"/>
    </row>
    <row r="8" spans="1:13" ht="24.95" customHeight="1">
      <c r="A8" s="492">
        <v>3</v>
      </c>
      <c r="B8" s="493" t="s">
        <v>873</v>
      </c>
      <c r="C8" s="625">
        <v>208</v>
      </c>
      <c r="D8" s="551">
        <v>5</v>
      </c>
      <c r="E8" s="474" t="s">
        <v>873</v>
      </c>
      <c r="F8" s="551">
        <v>28</v>
      </c>
      <c r="G8" s="551">
        <v>11</v>
      </c>
      <c r="H8" s="551">
        <f t="shared" si="0"/>
        <v>39</v>
      </c>
      <c r="I8" s="625">
        <f>C8-(H8+H9)</f>
        <v>122</v>
      </c>
      <c r="J8" s="551"/>
    </row>
    <row r="9" spans="1:13" ht="24.95" customHeight="1">
      <c r="A9" s="494"/>
      <c r="B9" s="473"/>
      <c r="C9" s="626"/>
      <c r="D9" s="551">
        <v>6</v>
      </c>
      <c r="E9" s="474" t="s">
        <v>874</v>
      </c>
      <c r="F9" s="551">
        <v>26</v>
      </c>
      <c r="G9" s="551">
        <v>21</v>
      </c>
      <c r="H9" s="551">
        <f t="shared" si="0"/>
        <v>47</v>
      </c>
      <c r="I9" s="626"/>
      <c r="J9" s="551"/>
    </row>
    <row r="10" spans="1:13" ht="24.95" customHeight="1">
      <c r="A10" s="492">
        <v>4</v>
      </c>
      <c r="B10" s="493" t="s">
        <v>875</v>
      </c>
      <c r="C10" s="625">
        <v>241</v>
      </c>
      <c r="D10" s="551">
        <v>7</v>
      </c>
      <c r="E10" s="474" t="s">
        <v>875</v>
      </c>
      <c r="F10" s="551">
        <v>54</v>
      </c>
      <c r="G10" s="551">
        <v>20</v>
      </c>
      <c r="H10" s="551">
        <f t="shared" si="0"/>
        <v>74</v>
      </c>
      <c r="I10" s="625">
        <f>C10-(H10+H11)</f>
        <v>139</v>
      </c>
      <c r="J10" s="551"/>
    </row>
    <row r="11" spans="1:13" ht="24.95" customHeight="1">
      <c r="A11" s="494"/>
      <c r="B11" s="473"/>
      <c r="C11" s="626"/>
      <c r="D11" s="551">
        <v>8</v>
      </c>
      <c r="E11" s="474" t="s">
        <v>894</v>
      </c>
      <c r="F11" s="551">
        <v>18</v>
      </c>
      <c r="G11" s="551">
        <v>10</v>
      </c>
      <c r="H11" s="551">
        <f t="shared" si="0"/>
        <v>28</v>
      </c>
      <c r="I11" s="626"/>
      <c r="J11" s="551"/>
    </row>
    <row r="12" spans="1:13" ht="24.95" customHeight="1">
      <c r="A12" s="492">
        <v>5</v>
      </c>
      <c r="B12" s="493" t="s">
        <v>895</v>
      </c>
      <c r="C12" s="625">
        <v>338</v>
      </c>
      <c r="D12" s="551">
        <v>9</v>
      </c>
      <c r="E12" s="474" t="s">
        <v>895</v>
      </c>
      <c r="F12" s="551">
        <v>20</v>
      </c>
      <c r="G12" s="551">
        <v>36</v>
      </c>
      <c r="H12" s="551">
        <f t="shared" si="0"/>
        <v>56</v>
      </c>
      <c r="I12" s="625">
        <f>C12-SUM(H12:H15)</f>
        <v>91</v>
      </c>
      <c r="J12" s="551"/>
    </row>
    <row r="13" spans="1:13" ht="24.95" customHeight="1">
      <c r="A13" s="556"/>
      <c r="B13" s="498"/>
      <c r="C13" s="635"/>
      <c r="D13" s="551">
        <v>10</v>
      </c>
      <c r="E13" s="474" t="s">
        <v>896</v>
      </c>
      <c r="F13" s="551">
        <v>31</v>
      </c>
      <c r="G13" s="551">
        <v>28</v>
      </c>
      <c r="H13" s="551">
        <f t="shared" si="0"/>
        <v>59</v>
      </c>
      <c r="I13" s="635"/>
      <c r="J13" s="551"/>
    </row>
    <row r="14" spans="1:13" ht="24.95" customHeight="1">
      <c r="A14" s="556"/>
      <c r="B14" s="498"/>
      <c r="C14" s="635"/>
      <c r="D14" s="551">
        <v>11</v>
      </c>
      <c r="E14" s="474" t="s">
        <v>897</v>
      </c>
      <c r="F14" s="551">
        <v>33</v>
      </c>
      <c r="G14" s="551">
        <v>36</v>
      </c>
      <c r="H14" s="551">
        <f t="shared" si="0"/>
        <v>69</v>
      </c>
      <c r="I14" s="635"/>
      <c r="J14" s="551"/>
    </row>
    <row r="15" spans="1:13" ht="24.95" customHeight="1">
      <c r="A15" s="555"/>
      <c r="B15" s="473"/>
      <c r="C15" s="626"/>
      <c r="D15" s="551">
        <v>12</v>
      </c>
      <c r="E15" s="474" t="s">
        <v>876</v>
      </c>
      <c r="F15" s="551">
        <v>30</v>
      </c>
      <c r="G15" s="551">
        <v>33</v>
      </c>
      <c r="H15" s="551">
        <f t="shared" si="0"/>
        <v>63</v>
      </c>
      <c r="I15" s="626"/>
      <c r="J15" s="551"/>
    </row>
    <row r="16" spans="1:13" ht="24.95" customHeight="1">
      <c r="A16" s="551">
        <v>6</v>
      </c>
      <c r="B16" s="474" t="s">
        <v>898</v>
      </c>
      <c r="C16" s="558">
        <v>297</v>
      </c>
      <c r="D16" s="551">
        <v>13</v>
      </c>
      <c r="E16" s="474" t="s">
        <v>898</v>
      </c>
      <c r="F16" s="551">
        <v>56</v>
      </c>
      <c r="G16" s="551">
        <v>67</v>
      </c>
      <c r="H16" s="551">
        <f t="shared" si="0"/>
        <v>123</v>
      </c>
      <c r="I16" s="551">
        <f>C16-H16</f>
        <v>174</v>
      </c>
      <c r="J16" s="551"/>
    </row>
    <row r="17" spans="1:10" ht="24.95" customHeight="1">
      <c r="A17" s="617" t="s">
        <v>877</v>
      </c>
      <c r="B17" s="619"/>
      <c r="C17" s="494">
        <f>SUM(C4:C16)</f>
        <v>1572</v>
      </c>
      <c r="D17" s="502"/>
      <c r="E17" s="557"/>
      <c r="F17" s="551">
        <f>SUM(F4:F16)</f>
        <v>381</v>
      </c>
      <c r="G17" s="551">
        <f>SUM(G4:G16)</f>
        <v>353</v>
      </c>
      <c r="H17" s="551">
        <f>SUM(H4:H16)</f>
        <v>734</v>
      </c>
      <c r="I17" s="551">
        <f>C17-H17</f>
        <v>838</v>
      </c>
      <c r="J17" s="551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59"/>
      <c r="D19" s="482"/>
      <c r="E19" s="482"/>
    </row>
    <row r="20" spans="1:10" ht="27.75" customHeight="1">
      <c r="A20" s="482"/>
      <c r="B20" s="482"/>
      <c r="C20" s="559"/>
      <c r="D20" s="482"/>
      <c r="E20" s="482"/>
    </row>
    <row r="21" spans="1:10" ht="27.75" customHeight="1">
      <c r="A21" s="482"/>
      <c r="B21" s="482"/>
      <c r="C21" s="559"/>
      <c r="D21" s="482"/>
      <c r="E21" s="482"/>
    </row>
    <row r="22" spans="1:10" ht="27.75" customHeight="1">
      <c r="A22" s="630" t="s">
        <v>1046</v>
      </c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0" s="478" customFormat="1" ht="30.75" customHeight="1">
      <c r="A23" s="625" t="s">
        <v>920</v>
      </c>
      <c r="B23" s="625" t="s">
        <v>865</v>
      </c>
      <c r="C23" s="613" t="s">
        <v>887</v>
      </c>
      <c r="D23" s="637" t="s">
        <v>922</v>
      </c>
      <c r="E23" s="638"/>
      <c r="F23" s="636" t="s">
        <v>923</v>
      </c>
      <c r="G23" s="636" t="s">
        <v>1047</v>
      </c>
      <c r="H23" s="636" t="s">
        <v>1048</v>
      </c>
      <c r="I23" s="636" t="s">
        <v>926</v>
      </c>
      <c r="J23" s="641" t="s">
        <v>919</v>
      </c>
    </row>
    <row r="24" spans="1:10" s="478" customFormat="1" ht="30.75" customHeight="1">
      <c r="A24" s="626"/>
      <c r="B24" s="626"/>
      <c r="C24" s="613"/>
      <c r="D24" s="639"/>
      <c r="E24" s="640"/>
      <c r="F24" s="636"/>
      <c r="G24" s="636"/>
      <c r="H24" s="636"/>
      <c r="I24" s="636"/>
      <c r="J24" s="641"/>
    </row>
    <row r="25" spans="1:10" ht="24.95" customHeight="1">
      <c r="A25" s="492">
        <v>1</v>
      </c>
      <c r="B25" s="493" t="s">
        <v>878</v>
      </c>
      <c r="C25" s="625">
        <v>262</v>
      </c>
      <c r="D25" s="558">
        <v>1</v>
      </c>
      <c r="E25" s="474" t="s">
        <v>878</v>
      </c>
      <c r="F25" s="551">
        <v>24</v>
      </c>
      <c r="G25" s="551">
        <v>33</v>
      </c>
      <c r="H25" s="551">
        <f>F25+G25</f>
        <v>57</v>
      </c>
      <c r="I25" s="625">
        <f>C25-(H25+H26)</f>
        <v>174</v>
      </c>
      <c r="J25" s="551"/>
    </row>
    <row r="26" spans="1:10" ht="24.95" customHeight="1">
      <c r="A26" s="494"/>
      <c r="B26" s="495"/>
      <c r="C26" s="626"/>
      <c r="D26" s="558">
        <v>2</v>
      </c>
      <c r="E26" s="474" t="s">
        <v>902</v>
      </c>
      <c r="F26" s="551">
        <v>16</v>
      </c>
      <c r="G26" s="551">
        <v>15</v>
      </c>
      <c r="H26" s="551">
        <f t="shared" ref="H26:H39" si="1">F26+G26</f>
        <v>31</v>
      </c>
      <c r="I26" s="626"/>
      <c r="J26" s="551"/>
    </row>
    <row r="27" spans="1:10" ht="24.95" customHeight="1">
      <c r="A27" s="492">
        <v>2</v>
      </c>
      <c r="B27" s="493" t="s">
        <v>903</v>
      </c>
      <c r="C27" s="625">
        <v>310</v>
      </c>
      <c r="D27" s="558">
        <v>3</v>
      </c>
      <c r="E27" s="474" t="s">
        <v>903</v>
      </c>
      <c r="F27" s="551">
        <v>9</v>
      </c>
      <c r="G27" s="551">
        <v>37</v>
      </c>
      <c r="H27" s="551">
        <f t="shared" si="1"/>
        <v>46</v>
      </c>
      <c r="I27" s="625">
        <f>C27-(H27+H28)</f>
        <v>234</v>
      </c>
      <c r="J27" s="551"/>
    </row>
    <row r="28" spans="1:10" ht="24.95" customHeight="1">
      <c r="A28" s="494"/>
      <c r="B28" s="495"/>
      <c r="C28" s="626"/>
      <c r="D28" s="558">
        <v>4</v>
      </c>
      <c r="E28" s="474" t="s">
        <v>904</v>
      </c>
      <c r="F28" s="551">
        <v>17</v>
      </c>
      <c r="G28" s="551">
        <v>13</v>
      </c>
      <c r="H28" s="551">
        <f t="shared" si="1"/>
        <v>30</v>
      </c>
      <c r="I28" s="626"/>
      <c r="J28" s="551"/>
    </row>
    <row r="29" spans="1:10" ht="24.95" customHeight="1">
      <c r="A29" s="492">
        <v>3</v>
      </c>
      <c r="B29" s="493" t="s">
        <v>879</v>
      </c>
      <c r="C29" s="625">
        <v>247</v>
      </c>
      <c r="D29" s="558">
        <v>5</v>
      </c>
      <c r="E29" s="474" t="s">
        <v>879</v>
      </c>
      <c r="F29" s="551">
        <v>34</v>
      </c>
      <c r="G29" s="551">
        <v>78</v>
      </c>
      <c r="H29" s="551">
        <f t="shared" si="1"/>
        <v>112</v>
      </c>
      <c r="I29" s="625">
        <f>C29-(H29+H30)</f>
        <v>67</v>
      </c>
      <c r="J29" s="551"/>
    </row>
    <row r="30" spans="1:10" ht="24.95" customHeight="1">
      <c r="A30" s="494"/>
      <c r="B30" s="495"/>
      <c r="C30" s="626"/>
      <c r="D30" s="558">
        <v>6</v>
      </c>
      <c r="E30" s="474" t="s">
        <v>905</v>
      </c>
      <c r="F30" s="551">
        <v>16</v>
      </c>
      <c r="G30" s="551">
        <v>52</v>
      </c>
      <c r="H30" s="551">
        <f t="shared" si="1"/>
        <v>68</v>
      </c>
      <c r="I30" s="626"/>
      <c r="J30" s="551"/>
    </row>
    <row r="31" spans="1:10" ht="24.95" customHeight="1">
      <c r="A31" s="492">
        <v>4</v>
      </c>
      <c r="B31" s="493" t="s">
        <v>906</v>
      </c>
      <c r="C31" s="625">
        <v>207</v>
      </c>
      <c r="D31" s="558">
        <v>7</v>
      </c>
      <c r="E31" s="474" t="s">
        <v>906</v>
      </c>
      <c r="F31" s="551"/>
      <c r="G31" s="551">
        <v>9</v>
      </c>
      <c r="H31" s="551">
        <f t="shared" si="1"/>
        <v>9</v>
      </c>
      <c r="I31" s="625">
        <f>C31-(H31+H32)</f>
        <v>180</v>
      </c>
      <c r="J31" s="551"/>
    </row>
    <row r="32" spans="1:10" ht="24.95" customHeight="1">
      <c r="A32" s="494"/>
      <c r="B32" s="495"/>
      <c r="C32" s="626"/>
      <c r="D32" s="558">
        <v>8</v>
      </c>
      <c r="E32" s="474" t="s">
        <v>907</v>
      </c>
      <c r="F32" s="551">
        <v>7</v>
      </c>
      <c r="G32" s="551">
        <v>11</v>
      </c>
      <c r="H32" s="551">
        <f t="shared" si="1"/>
        <v>18</v>
      </c>
      <c r="I32" s="626"/>
      <c r="J32" s="551"/>
    </row>
    <row r="33" spans="1:10" ht="24.95" customHeight="1">
      <c r="A33" s="492">
        <v>5</v>
      </c>
      <c r="B33" s="493" t="s">
        <v>908</v>
      </c>
      <c r="C33" s="625">
        <v>245</v>
      </c>
      <c r="D33" s="558">
        <v>9</v>
      </c>
      <c r="E33" s="474" t="s">
        <v>908</v>
      </c>
      <c r="F33" s="551">
        <v>23</v>
      </c>
      <c r="G33" s="551">
        <v>42</v>
      </c>
      <c r="H33" s="551">
        <f t="shared" si="1"/>
        <v>65</v>
      </c>
      <c r="I33" s="625">
        <f>C33-SUM(H33:H35)</f>
        <v>140</v>
      </c>
      <c r="J33" s="551"/>
    </row>
    <row r="34" spans="1:10" ht="24.95" customHeight="1">
      <c r="A34" s="496"/>
      <c r="B34" s="497"/>
      <c r="C34" s="635"/>
      <c r="D34" s="558">
        <v>10</v>
      </c>
      <c r="E34" s="474" t="s">
        <v>909</v>
      </c>
      <c r="F34" s="551">
        <v>13</v>
      </c>
      <c r="G34" s="551">
        <v>9</v>
      </c>
      <c r="H34" s="551">
        <f t="shared" si="1"/>
        <v>22</v>
      </c>
      <c r="I34" s="635"/>
      <c r="J34" s="551"/>
    </row>
    <row r="35" spans="1:10" ht="24.95" customHeight="1">
      <c r="A35" s="494"/>
      <c r="B35" s="495"/>
      <c r="C35" s="626"/>
      <c r="D35" s="558">
        <v>11</v>
      </c>
      <c r="E35" s="474" t="s">
        <v>910</v>
      </c>
      <c r="F35" s="551">
        <v>13</v>
      </c>
      <c r="G35" s="551">
        <v>5</v>
      </c>
      <c r="H35" s="551">
        <f t="shared" si="1"/>
        <v>18</v>
      </c>
      <c r="I35" s="626"/>
      <c r="J35" s="551"/>
    </row>
    <row r="36" spans="1:10" ht="24.95" customHeight="1">
      <c r="A36" s="558">
        <v>6</v>
      </c>
      <c r="B36" s="474" t="s">
        <v>911</v>
      </c>
      <c r="C36" s="558">
        <v>271</v>
      </c>
      <c r="D36" s="558">
        <v>12</v>
      </c>
      <c r="E36" s="474" t="s">
        <v>911</v>
      </c>
      <c r="F36" s="551">
        <v>27</v>
      </c>
      <c r="G36" s="551">
        <v>65</v>
      </c>
      <c r="H36" s="551">
        <f t="shared" si="1"/>
        <v>92</v>
      </c>
      <c r="I36" s="551">
        <f>C36-H36</f>
        <v>179</v>
      </c>
      <c r="J36" s="551"/>
    </row>
    <row r="37" spans="1:10" ht="24.95" customHeight="1">
      <c r="A37" s="558">
        <v>7</v>
      </c>
      <c r="B37" s="474" t="s">
        <v>912</v>
      </c>
      <c r="C37" s="558">
        <v>132</v>
      </c>
      <c r="D37" s="558">
        <v>13</v>
      </c>
      <c r="E37" s="474" t="s">
        <v>912</v>
      </c>
      <c r="F37" s="551">
        <v>42</v>
      </c>
      <c r="G37" s="551">
        <v>78</v>
      </c>
      <c r="H37" s="551">
        <f t="shared" si="1"/>
        <v>120</v>
      </c>
      <c r="I37" s="551">
        <f>C37-H37</f>
        <v>12</v>
      </c>
      <c r="J37" s="551"/>
    </row>
    <row r="38" spans="1:10" ht="24.95" customHeight="1">
      <c r="A38" s="492">
        <v>8</v>
      </c>
      <c r="B38" s="493" t="s">
        <v>913</v>
      </c>
      <c r="C38" s="625">
        <v>367</v>
      </c>
      <c r="D38" s="558">
        <v>14</v>
      </c>
      <c r="E38" s="474" t="s">
        <v>913</v>
      </c>
      <c r="F38" s="551">
        <v>38</v>
      </c>
      <c r="G38" s="551">
        <v>36</v>
      </c>
      <c r="H38" s="551">
        <f t="shared" si="1"/>
        <v>74</v>
      </c>
      <c r="I38" s="625">
        <f>C38-(H38+H39)</f>
        <v>248</v>
      </c>
      <c r="J38" s="551"/>
    </row>
    <row r="39" spans="1:10" ht="24.95" customHeight="1">
      <c r="A39" s="494"/>
      <c r="B39" s="495"/>
      <c r="C39" s="626"/>
      <c r="D39" s="558">
        <v>15</v>
      </c>
      <c r="E39" s="475" t="s">
        <v>880</v>
      </c>
      <c r="F39" s="551">
        <v>15</v>
      </c>
      <c r="G39" s="551">
        <v>30</v>
      </c>
      <c r="H39" s="551">
        <f t="shared" si="1"/>
        <v>45</v>
      </c>
      <c r="I39" s="626"/>
      <c r="J39" s="551"/>
    </row>
    <row r="40" spans="1:10" ht="45" customHeight="1">
      <c r="A40" s="622" t="s">
        <v>881</v>
      </c>
      <c r="B40" s="624"/>
      <c r="C40" s="558">
        <f>SUM(C25:C39)</f>
        <v>2041</v>
      </c>
      <c r="D40" s="552"/>
      <c r="E40" s="551"/>
      <c r="F40" s="551">
        <f>SUM(F25:F39)</f>
        <v>294</v>
      </c>
      <c r="G40" s="551">
        <f>SUM(G25:G39)</f>
        <v>513</v>
      </c>
      <c r="H40" s="551">
        <f>SUM(H25:H39)</f>
        <v>807</v>
      </c>
      <c r="I40" s="551">
        <f>SUM(I25:I39)</f>
        <v>1234</v>
      </c>
      <c r="J40" s="551"/>
    </row>
    <row r="41" spans="1:10" ht="45" customHeight="1">
      <c r="A41" s="642" t="s">
        <v>882</v>
      </c>
      <c r="B41" s="643"/>
      <c r="C41" s="554">
        <f>C40+C17</f>
        <v>3613</v>
      </c>
      <c r="D41" s="553"/>
      <c r="E41" s="554"/>
      <c r="F41" s="554">
        <f>F40+F17</f>
        <v>675</v>
      </c>
      <c r="G41" s="554">
        <f>G40+G17</f>
        <v>866</v>
      </c>
      <c r="H41" s="554">
        <f>H40+H17</f>
        <v>1541</v>
      </c>
      <c r="I41" s="554">
        <f>I40+I17</f>
        <v>2072</v>
      </c>
      <c r="J41" s="489"/>
    </row>
  </sheetData>
  <mergeCells count="43">
    <mergeCell ref="A1:J1"/>
    <mergeCell ref="A2:A3"/>
    <mergeCell ref="B2:B3"/>
    <mergeCell ref="C2:C3"/>
    <mergeCell ref="D2:E3"/>
    <mergeCell ref="F2:F3"/>
    <mergeCell ref="G2:G3"/>
    <mergeCell ref="H2:H3"/>
    <mergeCell ref="I2:I3"/>
    <mergeCell ref="J2:J3"/>
    <mergeCell ref="C4:C6"/>
    <mergeCell ref="I4:I6"/>
    <mergeCell ref="C8:C9"/>
    <mergeCell ref="I8:I9"/>
    <mergeCell ref="C10:C11"/>
    <mergeCell ref="I10:I11"/>
    <mergeCell ref="C12:C15"/>
    <mergeCell ref="I12:I15"/>
    <mergeCell ref="A17:B17"/>
    <mergeCell ref="A22:J22"/>
    <mergeCell ref="A23:A24"/>
    <mergeCell ref="B23:B24"/>
    <mergeCell ref="C23:C24"/>
    <mergeCell ref="D23:E24"/>
    <mergeCell ref="F23:F24"/>
    <mergeCell ref="G23:G24"/>
    <mergeCell ref="H23:H24"/>
    <mergeCell ref="I23:I24"/>
    <mergeCell ref="J23:J24"/>
    <mergeCell ref="I25:I26"/>
    <mergeCell ref="C38:C39"/>
    <mergeCell ref="I38:I39"/>
    <mergeCell ref="A40:B40"/>
    <mergeCell ref="A41:B41"/>
    <mergeCell ref="C29:C30"/>
    <mergeCell ref="I29:I30"/>
    <mergeCell ref="C31:C32"/>
    <mergeCell ref="I31:I32"/>
    <mergeCell ref="C33:C35"/>
    <mergeCell ref="I33:I35"/>
    <mergeCell ref="C27:C28"/>
    <mergeCell ref="I27:I28"/>
    <mergeCell ref="C25:C26"/>
  </mergeCells>
  <pageMargins left="0.5" right="0" top="0.25" bottom="0" header="0" footer="0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7"/>
  <sheetViews>
    <sheetView topLeftCell="A45" zoomScale="85" zoomScaleNormal="85" workbookViewId="0">
      <selection activeCell="P53" sqref="P53"/>
    </sheetView>
  </sheetViews>
  <sheetFormatPr defaultRowHeight="16.5"/>
  <cols>
    <col min="1" max="1" width="4.85546875" style="2" customWidth="1"/>
    <col min="2" max="2" width="11.85546875" style="2" customWidth="1"/>
    <col min="3" max="3" width="6" style="2" customWidth="1"/>
    <col min="4" max="4" width="19.85546875" style="12" customWidth="1"/>
    <col min="5" max="5" width="7" style="12" customWidth="1"/>
    <col min="6" max="6" width="9.5703125" style="13" customWidth="1"/>
    <col min="7" max="7" width="10.28515625" style="13" customWidth="1"/>
    <col min="8" max="8" width="10.42578125" style="13" customWidth="1"/>
    <col min="9" max="9" width="6.7109375" style="13" customWidth="1"/>
    <col min="10" max="10" width="9.85546875" style="12" customWidth="1"/>
    <col min="11" max="11" width="9.7109375" style="2" customWidth="1"/>
    <col min="12" max="12" width="11.5703125" style="2" customWidth="1"/>
    <col min="13" max="13" width="8" style="378" customWidth="1"/>
    <col min="14" max="14" width="11.7109375" style="378" customWidth="1"/>
    <col min="15" max="16384" width="9.140625" style="2"/>
  </cols>
  <sheetData>
    <row r="1" spans="1:16" ht="38.25" customHeight="1">
      <c r="A1" s="645" t="s">
        <v>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ht="24" customHeight="1">
      <c r="A5" s="15">
        <v>1</v>
      </c>
      <c r="B5" s="35" t="s">
        <v>758</v>
      </c>
      <c r="C5" s="15">
        <v>1</v>
      </c>
      <c r="D5" s="16" t="s">
        <v>23</v>
      </c>
      <c r="E5" s="15">
        <v>198</v>
      </c>
      <c r="F5" s="205">
        <v>1.1000000000000001</v>
      </c>
      <c r="G5" s="18"/>
      <c r="H5" s="19">
        <v>100</v>
      </c>
      <c r="I5" s="15">
        <v>2</v>
      </c>
      <c r="J5" s="47">
        <v>36.5</v>
      </c>
      <c r="K5" s="47">
        <v>5.3</v>
      </c>
      <c r="L5" s="47">
        <f>J5+K5</f>
        <v>41.8</v>
      </c>
      <c r="M5" s="384">
        <v>1.52</v>
      </c>
      <c r="N5" s="384">
        <f>M5*34.12</f>
        <v>51.862399999999994</v>
      </c>
      <c r="P5" s="2">
        <f>4000/5280</f>
        <v>0.75757575757575757</v>
      </c>
    </row>
    <row r="6" spans="1:16" ht="24" customHeight="1">
      <c r="A6" s="20"/>
      <c r="B6" s="80" t="s">
        <v>766</v>
      </c>
      <c r="C6" s="20">
        <v>2</v>
      </c>
      <c r="D6" s="21" t="s">
        <v>24</v>
      </c>
      <c r="E6" s="22">
        <v>84</v>
      </c>
      <c r="F6" s="209">
        <v>0.2</v>
      </c>
      <c r="G6" s="24"/>
      <c r="H6" s="25">
        <v>100</v>
      </c>
      <c r="I6" s="22">
        <v>1</v>
      </c>
      <c r="J6" s="48">
        <v>13</v>
      </c>
      <c r="K6" s="48">
        <v>1.6</v>
      </c>
      <c r="L6" s="48">
        <f>K6+J6</f>
        <v>14.6</v>
      </c>
      <c r="M6" s="385">
        <v>0.76</v>
      </c>
      <c r="N6" s="385">
        <f t="shared" ref="N6:N21" si="0">M6*34.12</f>
        <v>25.931199999999997</v>
      </c>
      <c r="P6" s="2">
        <f>P5*2</f>
        <v>1.5151515151515151</v>
      </c>
    </row>
    <row r="7" spans="1:16" ht="24" customHeight="1">
      <c r="A7" s="20"/>
      <c r="B7" s="80" t="s">
        <v>767</v>
      </c>
      <c r="C7" s="20">
        <v>3</v>
      </c>
      <c r="D7" s="21" t="s">
        <v>25</v>
      </c>
      <c r="E7" s="22">
        <v>145</v>
      </c>
      <c r="F7" s="209">
        <v>1.9</v>
      </c>
      <c r="G7" s="24"/>
      <c r="H7" s="25">
        <v>200</v>
      </c>
      <c r="I7" s="22">
        <v>1</v>
      </c>
      <c r="J7" s="48">
        <v>40</v>
      </c>
      <c r="K7" s="48">
        <v>6.7</v>
      </c>
      <c r="L7" s="48">
        <f>K7+J7</f>
        <v>46.7</v>
      </c>
      <c r="M7" s="385">
        <v>1</v>
      </c>
      <c r="N7" s="385">
        <f t="shared" si="0"/>
        <v>34.119999999999997</v>
      </c>
    </row>
    <row r="8" spans="1:16" ht="24" customHeight="1">
      <c r="A8" s="20"/>
      <c r="B8" s="20"/>
      <c r="C8" s="20">
        <v>4</v>
      </c>
      <c r="D8" s="21" t="s">
        <v>26</v>
      </c>
      <c r="E8" s="22">
        <v>76</v>
      </c>
      <c r="F8" s="209">
        <v>0.8</v>
      </c>
      <c r="G8" s="24"/>
      <c r="H8" s="25">
        <v>100</v>
      </c>
      <c r="I8" s="22">
        <v>1</v>
      </c>
      <c r="J8" s="48">
        <v>22</v>
      </c>
      <c r="K8" s="48">
        <v>3.4</v>
      </c>
      <c r="L8" s="48">
        <f t="shared" ref="L8:L40" si="1">K8+J8</f>
        <v>25.4</v>
      </c>
      <c r="M8" s="385">
        <v>0.76</v>
      </c>
      <c r="N8" s="385">
        <f t="shared" si="0"/>
        <v>25.931199999999997</v>
      </c>
      <c r="P8" s="2">
        <f>3000/5280</f>
        <v>0.56818181818181823</v>
      </c>
    </row>
    <row r="9" spans="1:16" ht="24" customHeight="1">
      <c r="A9" s="20"/>
      <c r="B9" s="20"/>
      <c r="C9" s="20">
        <v>5</v>
      </c>
      <c r="D9" s="21" t="s">
        <v>27</v>
      </c>
      <c r="E9" s="22">
        <v>227</v>
      </c>
      <c r="F9" s="209">
        <v>1.6</v>
      </c>
      <c r="G9" s="24"/>
      <c r="H9" s="25">
        <v>160</v>
      </c>
      <c r="I9" s="22">
        <v>2</v>
      </c>
      <c r="J9" s="48">
        <v>46</v>
      </c>
      <c r="K9" s="48">
        <v>6.8</v>
      </c>
      <c r="L9" s="48">
        <f t="shared" si="1"/>
        <v>52.8</v>
      </c>
      <c r="M9" s="385">
        <v>0.8</v>
      </c>
      <c r="N9" s="385">
        <f t="shared" si="0"/>
        <v>27.295999999999999</v>
      </c>
    </row>
    <row r="10" spans="1:16" ht="24" customHeight="1">
      <c r="A10" s="20"/>
      <c r="B10" s="20"/>
      <c r="C10" s="20">
        <v>6</v>
      </c>
      <c r="D10" s="21" t="s">
        <v>28</v>
      </c>
      <c r="E10" s="22">
        <v>214</v>
      </c>
      <c r="F10" s="209">
        <v>1.8</v>
      </c>
      <c r="G10" s="24"/>
      <c r="H10" s="25">
        <v>160</v>
      </c>
      <c r="I10" s="22">
        <v>2</v>
      </c>
      <c r="J10" s="48">
        <v>49</v>
      </c>
      <c r="K10" s="48">
        <v>7.4</v>
      </c>
      <c r="L10" s="48">
        <f t="shared" si="1"/>
        <v>56.4</v>
      </c>
      <c r="M10" s="385">
        <v>0.8</v>
      </c>
      <c r="N10" s="385">
        <f t="shared" si="0"/>
        <v>27.295999999999999</v>
      </c>
    </row>
    <row r="11" spans="1:16" ht="24" customHeight="1">
      <c r="A11" s="20"/>
      <c r="B11" s="20"/>
      <c r="C11" s="20">
        <v>7</v>
      </c>
      <c r="D11" s="21" t="s">
        <v>29</v>
      </c>
      <c r="E11" s="22">
        <v>64</v>
      </c>
      <c r="F11" s="209">
        <v>0.6</v>
      </c>
      <c r="G11" s="24"/>
      <c r="H11" s="25">
        <v>50</v>
      </c>
      <c r="I11" s="22">
        <v>1</v>
      </c>
      <c r="J11" s="48">
        <v>18</v>
      </c>
      <c r="K11" s="48">
        <v>2.8</v>
      </c>
      <c r="L11" s="48">
        <f t="shared" si="1"/>
        <v>20.8</v>
      </c>
      <c r="M11" s="385">
        <v>0.56999999999999995</v>
      </c>
      <c r="N11" s="385">
        <f t="shared" si="0"/>
        <v>19.448399999999996</v>
      </c>
    </row>
    <row r="12" spans="1:16" ht="24" customHeight="1">
      <c r="A12" s="20"/>
      <c r="B12" s="20"/>
      <c r="C12" s="20">
        <v>8</v>
      </c>
      <c r="D12" s="21" t="s">
        <v>30</v>
      </c>
      <c r="E12" s="22">
        <v>20</v>
      </c>
      <c r="F12" s="209">
        <v>1.3</v>
      </c>
      <c r="G12" s="24"/>
      <c r="H12" s="25">
        <v>50</v>
      </c>
      <c r="I12" s="22">
        <v>1</v>
      </c>
      <c r="J12" s="48">
        <v>28.5</v>
      </c>
      <c r="K12" s="48">
        <v>4.9000000000000004</v>
      </c>
      <c r="L12" s="48">
        <f t="shared" si="1"/>
        <v>33.4</v>
      </c>
      <c r="M12" s="385">
        <v>0.56999999999999995</v>
      </c>
      <c r="N12" s="385">
        <f t="shared" si="0"/>
        <v>19.448399999999996</v>
      </c>
    </row>
    <row r="13" spans="1:16" ht="24" customHeight="1">
      <c r="A13" s="20"/>
      <c r="B13" s="20"/>
      <c r="C13" s="20">
        <v>9</v>
      </c>
      <c r="D13" s="21" t="s">
        <v>31</v>
      </c>
      <c r="E13" s="22">
        <v>84</v>
      </c>
      <c r="F13" s="211" t="s">
        <v>32</v>
      </c>
      <c r="G13" s="24"/>
      <c r="H13" s="26" t="s">
        <v>33</v>
      </c>
      <c r="I13" s="22">
        <v>1</v>
      </c>
      <c r="J13" s="48">
        <v>19</v>
      </c>
      <c r="K13" s="48">
        <v>2.5</v>
      </c>
      <c r="L13" s="48">
        <f t="shared" si="1"/>
        <v>21.5</v>
      </c>
      <c r="M13" s="385">
        <v>1</v>
      </c>
      <c r="N13" s="385">
        <f t="shared" si="0"/>
        <v>34.119999999999997</v>
      </c>
    </row>
    <row r="14" spans="1:16" ht="24" customHeight="1">
      <c r="A14" s="20"/>
      <c r="B14" s="20"/>
      <c r="C14" s="20">
        <v>10</v>
      </c>
      <c r="D14" s="21" t="s">
        <v>34</v>
      </c>
      <c r="E14" s="22">
        <v>43</v>
      </c>
      <c r="F14" s="211" t="s">
        <v>35</v>
      </c>
      <c r="G14" s="24"/>
      <c r="H14" s="26" t="s">
        <v>36</v>
      </c>
      <c r="I14" s="22">
        <v>1</v>
      </c>
      <c r="J14" s="48">
        <v>24</v>
      </c>
      <c r="K14" s="48">
        <v>4</v>
      </c>
      <c r="L14" s="48">
        <f t="shared" si="1"/>
        <v>28</v>
      </c>
      <c r="M14" s="385">
        <v>0.56999999999999995</v>
      </c>
      <c r="N14" s="385">
        <f t="shared" si="0"/>
        <v>19.448399999999996</v>
      </c>
    </row>
    <row r="15" spans="1:16" ht="24" customHeight="1">
      <c r="A15" s="20"/>
      <c r="B15" s="20"/>
      <c r="C15" s="20">
        <v>11</v>
      </c>
      <c r="D15" s="21" t="s">
        <v>37</v>
      </c>
      <c r="E15" s="22">
        <v>75</v>
      </c>
      <c r="F15" s="211" t="s">
        <v>32</v>
      </c>
      <c r="G15" s="24"/>
      <c r="H15" s="26" t="s">
        <v>38</v>
      </c>
      <c r="I15" s="22">
        <v>1</v>
      </c>
      <c r="J15" s="48">
        <v>17.5</v>
      </c>
      <c r="K15" s="48">
        <v>2.5</v>
      </c>
      <c r="L15" s="48">
        <f t="shared" si="1"/>
        <v>20</v>
      </c>
      <c r="M15" s="385">
        <v>0.76</v>
      </c>
      <c r="N15" s="385">
        <f t="shared" si="0"/>
        <v>25.931199999999997</v>
      </c>
    </row>
    <row r="16" spans="1:16" ht="24" customHeight="1">
      <c r="A16" s="20"/>
      <c r="B16" s="20"/>
      <c r="C16" s="20">
        <v>12</v>
      </c>
      <c r="D16" s="21" t="s">
        <v>39</v>
      </c>
      <c r="E16" s="22">
        <v>87</v>
      </c>
      <c r="F16" s="211" t="s">
        <v>40</v>
      </c>
      <c r="G16" s="24"/>
      <c r="H16" s="26" t="s">
        <v>38</v>
      </c>
      <c r="I16" s="22">
        <v>1</v>
      </c>
      <c r="J16" s="48">
        <v>13</v>
      </c>
      <c r="K16" s="48">
        <v>1.6</v>
      </c>
      <c r="L16" s="48">
        <f t="shared" si="1"/>
        <v>14.6</v>
      </c>
      <c r="M16" s="385">
        <v>0.76</v>
      </c>
      <c r="N16" s="385">
        <f t="shared" si="0"/>
        <v>25.931199999999997</v>
      </c>
    </row>
    <row r="17" spans="1:14" ht="24" customHeight="1">
      <c r="A17" s="20"/>
      <c r="B17" s="20"/>
      <c r="C17" s="20">
        <v>13</v>
      </c>
      <c r="D17" s="21" t="s">
        <v>41</v>
      </c>
      <c r="E17" s="22">
        <v>78</v>
      </c>
      <c r="F17" s="211" t="s">
        <v>42</v>
      </c>
      <c r="G17" s="24"/>
      <c r="H17" s="26" t="s">
        <v>38</v>
      </c>
      <c r="I17" s="22">
        <v>1</v>
      </c>
      <c r="J17" s="48">
        <v>19</v>
      </c>
      <c r="K17" s="48">
        <v>2.8</v>
      </c>
      <c r="L17" s="48">
        <f t="shared" si="1"/>
        <v>21.8</v>
      </c>
      <c r="M17" s="385">
        <v>0.76</v>
      </c>
      <c r="N17" s="385">
        <f t="shared" si="0"/>
        <v>25.931199999999997</v>
      </c>
    </row>
    <row r="18" spans="1:14" ht="24" customHeight="1">
      <c r="A18" s="20"/>
      <c r="B18" s="20"/>
      <c r="C18" s="20">
        <v>14</v>
      </c>
      <c r="D18" s="21" t="s">
        <v>43</v>
      </c>
      <c r="E18" s="22">
        <v>85</v>
      </c>
      <c r="F18" s="209">
        <v>0.4</v>
      </c>
      <c r="G18" s="24"/>
      <c r="H18" s="25">
        <v>100</v>
      </c>
      <c r="I18" s="22">
        <v>1</v>
      </c>
      <c r="J18" s="48">
        <v>16</v>
      </c>
      <c r="K18" s="48">
        <v>2.2000000000000002</v>
      </c>
      <c r="L18" s="48">
        <f t="shared" si="1"/>
        <v>18.2</v>
      </c>
      <c r="M18" s="385">
        <v>0.76</v>
      </c>
      <c r="N18" s="385">
        <f t="shared" si="0"/>
        <v>25.931199999999997</v>
      </c>
    </row>
    <row r="19" spans="1:14" ht="24" customHeight="1">
      <c r="A19" s="20"/>
      <c r="B19" s="20"/>
      <c r="C19" s="20">
        <v>15</v>
      </c>
      <c r="D19" s="21" t="s">
        <v>44</v>
      </c>
      <c r="E19" s="22">
        <v>86</v>
      </c>
      <c r="F19" s="209">
        <v>1</v>
      </c>
      <c r="G19" s="24"/>
      <c r="H19" s="25">
        <v>100</v>
      </c>
      <c r="I19" s="22">
        <v>1</v>
      </c>
      <c r="J19" s="48">
        <v>25</v>
      </c>
      <c r="K19" s="48">
        <v>4</v>
      </c>
      <c r="L19" s="48">
        <f t="shared" si="1"/>
        <v>29</v>
      </c>
      <c r="M19" s="385">
        <v>0.76</v>
      </c>
      <c r="N19" s="385">
        <f t="shared" si="0"/>
        <v>25.931199999999997</v>
      </c>
    </row>
    <row r="20" spans="1:14" ht="24" customHeight="1">
      <c r="A20" s="20"/>
      <c r="B20" s="20"/>
      <c r="C20" s="20">
        <v>16</v>
      </c>
      <c r="D20" s="21" t="s">
        <v>45</v>
      </c>
      <c r="E20" s="22">
        <v>43</v>
      </c>
      <c r="F20" s="209">
        <v>0.8</v>
      </c>
      <c r="G20" s="24"/>
      <c r="H20" s="25">
        <v>50</v>
      </c>
      <c r="I20" s="22">
        <v>1</v>
      </c>
      <c r="J20" s="48">
        <v>21</v>
      </c>
      <c r="K20" s="48">
        <v>3.4</v>
      </c>
      <c r="L20" s="48">
        <f t="shared" si="1"/>
        <v>24.4</v>
      </c>
      <c r="M20" s="385">
        <v>0.56999999999999995</v>
      </c>
      <c r="N20" s="385">
        <f t="shared" si="0"/>
        <v>19.448399999999996</v>
      </c>
    </row>
    <row r="21" spans="1:14" ht="24" customHeight="1">
      <c r="A21" s="27"/>
      <c r="B21" s="27"/>
      <c r="C21" s="27">
        <v>17</v>
      </c>
      <c r="D21" s="28" t="s">
        <v>46</v>
      </c>
      <c r="E21" s="29">
        <v>79</v>
      </c>
      <c r="F21" s="210">
        <v>0.6</v>
      </c>
      <c r="G21" s="31"/>
      <c r="H21" s="32">
        <v>100</v>
      </c>
      <c r="I21" s="29">
        <v>1</v>
      </c>
      <c r="J21" s="49">
        <v>19</v>
      </c>
      <c r="K21" s="49">
        <v>2.8</v>
      </c>
      <c r="L21" s="49">
        <f t="shared" si="1"/>
        <v>21.8</v>
      </c>
      <c r="M21" s="386">
        <v>0.76</v>
      </c>
      <c r="N21" s="386">
        <f t="shared" si="0"/>
        <v>25.931199999999997</v>
      </c>
    </row>
    <row r="22" spans="1:14" s="5" customFormat="1" ht="27.75" customHeight="1">
      <c r="A22" s="654" t="s">
        <v>1</v>
      </c>
      <c r="B22" s="632" t="s">
        <v>755</v>
      </c>
      <c r="C22" s="646" t="s">
        <v>21</v>
      </c>
      <c r="D22" s="647"/>
      <c r="E22" s="652" t="s">
        <v>756</v>
      </c>
      <c r="F22" s="654" t="s">
        <v>3</v>
      </c>
      <c r="G22" s="654"/>
      <c r="H22" s="654"/>
      <c r="I22" s="654"/>
      <c r="J22" s="654" t="s">
        <v>761</v>
      </c>
      <c r="K22" s="654"/>
      <c r="L22" s="654"/>
      <c r="M22" s="644" t="s">
        <v>857</v>
      </c>
      <c r="N22" s="644"/>
    </row>
    <row r="23" spans="1:14" s="5" customFormat="1" ht="40.5" customHeight="1">
      <c r="A23" s="654"/>
      <c r="B23" s="633"/>
      <c r="C23" s="648"/>
      <c r="D23" s="649"/>
      <c r="E23" s="652"/>
      <c r="F23" s="652" t="s">
        <v>757</v>
      </c>
      <c r="G23" s="652" t="s">
        <v>5</v>
      </c>
      <c r="H23" s="652" t="s">
        <v>6</v>
      </c>
      <c r="I23" s="652"/>
      <c r="J23" s="652" t="s">
        <v>22</v>
      </c>
      <c r="K23" s="652" t="s">
        <v>762</v>
      </c>
      <c r="L23" s="654" t="s">
        <v>8</v>
      </c>
      <c r="M23" s="644"/>
      <c r="N23" s="644"/>
    </row>
    <row r="24" spans="1:14" s="5" customFormat="1" ht="58.5" customHeight="1">
      <c r="A24" s="632"/>
      <c r="B24" s="634"/>
      <c r="C24" s="650"/>
      <c r="D24" s="651"/>
      <c r="E24" s="653"/>
      <c r="F24" s="653"/>
      <c r="G24" s="653"/>
      <c r="H24" s="381" t="s">
        <v>9</v>
      </c>
      <c r="I24" s="381" t="s">
        <v>10</v>
      </c>
      <c r="J24" s="653"/>
      <c r="K24" s="632"/>
      <c r="L24" s="632"/>
      <c r="M24" s="382" t="s">
        <v>753</v>
      </c>
      <c r="N24" s="383" t="s">
        <v>754</v>
      </c>
    </row>
    <row r="25" spans="1:14" ht="24.75" customHeight="1">
      <c r="A25" s="15">
        <v>1</v>
      </c>
      <c r="B25" s="35" t="s">
        <v>758</v>
      </c>
      <c r="C25" s="34">
        <v>18</v>
      </c>
      <c r="D25" s="16" t="s">
        <v>47</v>
      </c>
      <c r="E25" s="15">
        <v>265</v>
      </c>
      <c r="F25" s="205">
        <v>0.5</v>
      </c>
      <c r="G25" s="18"/>
      <c r="H25" s="19">
        <v>200</v>
      </c>
      <c r="I25" s="15">
        <v>2</v>
      </c>
      <c r="J25" s="47">
        <v>30.5</v>
      </c>
      <c r="K25" s="47">
        <v>3.5</v>
      </c>
      <c r="L25" s="47">
        <f t="shared" si="1"/>
        <v>34</v>
      </c>
      <c r="M25" s="387">
        <v>1</v>
      </c>
      <c r="N25" s="384">
        <f t="shared" ref="N25:N40" si="2">M25*34.12</f>
        <v>34.119999999999997</v>
      </c>
    </row>
    <row r="26" spans="1:14" ht="24.75" customHeight="1">
      <c r="A26" s="20"/>
      <c r="B26" s="20"/>
      <c r="C26" s="20">
        <v>19</v>
      </c>
      <c r="D26" s="21" t="s">
        <v>48</v>
      </c>
      <c r="E26" s="22">
        <v>54</v>
      </c>
      <c r="F26" s="209">
        <v>1.5</v>
      </c>
      <c r="G26" s="24"/>
      <c r="H26" s="25">
        <v>50</v>
      </c>
      <c r="I26" s="22">
        <v>1</v>
      </c>
      <c r="J26" s="48">
        <v>31.5</v>
      </c>
      <c r="K26" s="48">
        <v>5.5</v>
      </c>
      <c r="L26" s="48">
        <f t="shared" si="1"/>
        <v>37</v>
      </c>
      <c r="M26" s="388">
        <v>0.56999999999999995</v>
      </c>
      <c r="N26" s="385">
        <f t="shared" si="2"/>
        <v>19.448399999999996</v>
      </c>
    </row>
    <row r="27" spans="1:14" ht="24.75" customHeight="1">
      <c r="A27" s="20"/>
      <c r="B27" s="20"/>
      <c r="C27" s="20">
        <v>20</v>
      </c>
      <c r="D27" s="21" t="s">
        <v>49</v>
      </c>
      <c r="E27" s="22">
        <v>101</v>
      </c>
      <c r="F27" s="209">
        <v>1.6</v>
      </c>
      <c r="G27" s="24"/>
      <c r="H27" s="25">
        <v>100</v>
      </c>
      <c r="I27" s="22">
        <v>1</v>
      </c>
      <c r="J27" s="48">
        <v>34</v>
      </c>
      <c r="K27" s="48">
        <v>5.8</v>
      </c>
      <c r="L27" s="48">
        <f t="shared" si="1"/>
        <v>39.799999999999997</v>
      </c>
      <c r="M27" s="388">
        <v>0.76</v>
      </c>
      <c r="N27" s="385">
        <f t="shared" si="2"/>
        <v>25.931199999999997</v>
      </c>
    </row>
    <row r="28" spans="1:14" ht="24.75" customHeight="1">
      <c r="A28" s="20"/>
      <c r="B28" s="20"/>
      <c r="C28" s="20">
        <v>21</v>
      </c>
      <c r="D28" s="21" t="s">
        <v>50</v>
      </c>
      <c r="E28" s="22">
        <v>80</v>
      </c>
      <c r="F28" s="209">
        <v>0.4</v>
      </c>
      <c r="G28" s="24"/>
      <c r="H28" s="25">
        <v>100</v>
      </c>
      <c r="I28" s="22">
        <v>1</v>
      </c>
      <c r="J28" s="48">
        <v>16</v>
      </c>
      <c r="K28" s="48">
        <v>2.2000000000000002</v>
      </c>
      <c r="L28" s="48">
        <f t="shared" si="1"/>
        <v>18.2</v>
      </c>
      <c r="M28" s="388">
        <v>0.76</v>
      </c>
      <c r="N28" s="385">
        <f t="shared" si="2"/>
        <v>25.931199999999997</v>
      </c>
    </row>
    <row r="29" spans="1:14" ht="24.75" customHeight="1">
      <c r="A29" s="20"/>
      <c r="B29" s="20"/>
      <c r="C29" s="20">
        <v>22</v>
      </c>
      <c r="D29" s="21" t="s">
        <v>51</v>
      </c>
      <c r="E29" s="22">
        <v>57</v>
      </c>
      <c r="F29" s="209">
        <v>0.4</v>
      </c>
      <c r="G29" s="24"/>
      <c r="H29" s="25">
        <v>50</v>
      </c>
      <c r="I29" s="22">
        <v>1</v>
      </c>
      <c r="J29" s="48">
        <v>15</v>
      </c>
      <c r="K29" s="48">
        <v>2.2000000000000002</v>
      </c>
      <c r="L29" s="48">
        <f t="shared" si="1"/>
        <v>17.2</v>
      </c>
      <c r="M29" s="388">
        <v>0.56999999999999995</v>
      </c>
      <c r="N29" s="385">
        <f t="shared" si="2"/>
        <v>19.448399999999996</v>
      </c>
    </row>
    <row r="30" spans="1:14" ht="24.75" customHeight="1">
      <c r="A30" s="20"/>
      <c r="B30" s="20"/>
      <c r="C30" s="20">
        <v>23</v>
      </c>
      <c r="D30" s="21" t="s">
        <v>52</v>
      </c>
      <c r="E30" s="22">
        <v>112</v>
      </c>
      <c r="F30" s="211" t="s">
        <v>35</v>
      </c>
      <c r="G30" s="24"/>
      <c r="H30" s="25">
        <v>200</v>
      </c>
      <c r="I30" s="22">
        <v>1</v>
      </c>
      <c r="J30" s="48">
        <v>26.5</v>
      </c>
      <c r="K30" s="48">
        <v>4</v>
      </c>
      <c r="L30" s="48">
        <f t="shared" si="1"/>
        <v>30.5</v>
      </c>
      <c r="M30" s="388">
        <v>1</v>
      </c>
      <c r="N30" s="385">
        <f t="shared" si="2"/>
        <v>34.119999999999997</v>
      </c>
    </row>
    <row r="31" spans="1:14" ht="24.75" customHeight="1">
      <c r="A31" s="20"/>
      <c r="B31" s="20"/>
      <c r="C31" s="20">
        <v>24</v>
      </c>
      <c r="D31" s="21" t="s">
        <v>53</v>
      </c>
      <c r="E31" s="22">
        <v>34</v>
      </c>
      <c r="F31" s="211" t="s">
        <v>54</v>
      </c>
      <c r="G31" s="24"/>
      <c r="H31" s="25">
        <v>50</v>
      </c>
      <c r="I31" s="22">
        <v>1</v>
      </c>
      <c r="J31" s="48">
        <v>15</v>
      </c>
      <c r="K31" s="48">
        <v>2.2000000000000002</v>
      </c>
      <c r="L31" s="48">
        <f t="shared" si="1"/>
        <v>17.2</v>
      </c>
      <c r="M31" s="388">
        <v>0.56999999999999995</v>
      </c>
      <c r="N31" s="385">
        <f t="shared" si="2"/>
        <v>19.448399999999996</v>
      </c>
    </row>
    <row r="32" spans="1:14" ht="24.75" customHeight="1">
      <c r="A32" s="20"/>
      <c r="B32" s="20"/>
      <c r="C32" s="20">
        <v>25</v>
      </c>
      <c r="D32" s="21" t="s">
        <v>55</v>
      </c>
      <c r="E32" s="22">
        <v>29</v>
      </c>
      <c r="F32" s="209">
        <v>1.5</v>
      </c>
      <c r="G32" s="24"/>
      <c r="H32" s="25">
        <v>50</v>
      </c>
      <c r="I32" s="22">
        <v>1</v>
      </c>
      <c r="J32" s="48">
        <v>31.5</v>
      </c>
      <c r="K32" s="48">
        <v>5.5</v>
      </c>
      <c r="L32" s="48">
        <f t="shared" si="1"/>
        <v>37</v>
      </c>
      <c r="M32" s="388">
        <v>0.56999999999999995</v>
      </c>
      <c r="N32" s="385">
        <f t="shared" si="2"/>
        <v>19.448399999999996</v>
      </c>
    </row>
    <row r="33" spans="1:14" ht="24.75" customHeight="1">
      <c r="A33" s="20"/>
      <c r="B33" s="20"/>
      <c r="C33" s="20">
        <v>26</v>
      </c>
      <c r="D33" s="21" t="s">
        <v>56</v>
      </c>
      <c r="E33" s="22">
        <v>81</v>
      </c>
      <c r="F33" s="209">
        <v>0.5</v>
      </c>
      <c r="G33" s="24"/>
      <c r="H33" s="25">
        <v>100</v>
      </c>
      <c r="I33" s="22">
        <v>1</v>
      </c>
      <c r="J33" s="48">
        <v>17.5</v>
      </c>
      <c r="K33" s="48">
        <v>2.5</v>
      </c>
      <c r="L33" s="48">
        <f t="shared" si="1"/>
        <v>20</v>
      </c>
      <c r="M33" s="388">
        <v>0.76</v>
      </c>
      <c r="N33" s="385">
        <f t="shared" si="2"/>
        <v>25.931199999999997</v>
      </c>
    </row>
    <row r="34" spans="1:14" ht="24.75" customHeight="1">
      <c r="A34" s="20"/>
      <c r="B34" s="20"/>
      <c r="C34" s="20">
        <v>27</v>
      </c>
      <c r="D34" s="21" t="s">
        <v>57</v>
      </c>
      <c r="E34" s="22">
        <v>165</v>
      </c>
      <c r="F34" s="209">
        <v>1</v>
      </c>
      <c r="G34" s="24"/>
      <c r="H34" s="25">
        <v>200</v>
      </c>
      <c r="I34" s="22">
        <v>1</v>
      </c>
      <c r="J34" s="48">
        <v>26.5</v>
      </c>
      <c r="K34" s="48">
        <v>4</v>
      </c>
      <c r="L34" s="48">
        <f t="shared" si="1"/>
        <v>30.5</v>
      </c>
      <c r="M34" s="388">
        <v>1</v>
      </c>
      <c r="N34" s="385">
        <f t="shared" si="2"/>
        <v>34.119999999999997</v>
      </c>
    </row>
    <row r="35" spans="1:14" ht="24.75" customHeight="1">
      <c r="A35" s="20"/>
      <c r="B35" s="20"/>
      <c r="C35" s="20">
        <v>28</v>
      </c>
      <c r="D35" s="21" t="s">
        <v>58</v>
      </c>
      <c r="E35" s="22">
        <v>94</v>
      </c>
      <c r="F35" s="209">
        <v>0.8</v>
      </c>
      <c r="G35" s="24"/>
      <c r="H35" s="25">
        <v>100</v>
      </c>
      <c r="I35" s="22">
        <v>1</v>
      </c>
      <c r="J35" s="48">
        <v>22</v>
      </c>
      <c r="K35" s="48">
        <v>3.4</v>
      </c>
      <c r="L35" s="48">
        <f t="shared" si="1"/>
        <v>25.4</v>
      </c>
      <c r="M35" s="388">
        <v>0.76</v>
      </c>
      <c r="N35" s="385">
        <f t="shared" si="2"/>
        <v>25.931199999999997</v>
      </c>
    </row>
    <row r="36" spans="1:14" ht="24.75" customHeight="1">
      <c r="A36" s="20"/>
      <c r="B36" s="20"/>
      <c r="C36" s="20">
        <v>29</v>
      </c>
      <c r="D36" s="21" t="s">
        <v>59</v>
      </c>
      <c r="E36" s="22">
        <v>47</v>
      </c>
      <c r="F36" s="209">
        <v>1.9</v>
      </c>
      <c r="G36" s="24"/>
      <c r="H36" s="25">
        <v>50</v>
      </c>
      <c r="I36" s="22">
        <v>1</v>
      </c>
      <c r="J36" s="48">
        <v>37.5</v>
      </c>
      <c r="K36" s="48">
        <v>6.7</v>
      </c>
      <c r="L36" s="48">
        <f t="shared" si="1"/>
        <v>44.2</v>
      </c>
      <c r="M36" s="388">
        <v>0.56999999999999995</v>
      </c>
      <c r="N36" s="385">
        <f t="shared" si="2"/>
        <v>19.448399999999996</v>
      </c>
    </row>
    <row r="37" spans="1:14" ht="24.75" customHeight="1">
      <c r="A37" s="20"/>
      <c r="B37" s="20"/>
      <c r="C37" s="20">
        <v>30</v>
      </c>
      <c r="D37" s="21" t="s">
        <v>60</v>
      </c>
      <c r="E37" s="22">
        <v>58</v>
      </c>
      <c r="F37" s="209">
        <v>1.9</v>
      </c>
      <c r="G37" s="24"/>
      <c r="H37" s="25">
        <v>50</v>
      </c>
      <c r="I37" s="22">
        <v>1</v>
      </c>
      <c r="J37" s="48">
        <v>37.5</v>
      </c>
      <c r="K37" s="48">
        <v>6.7</v>
      </c>
      <c r="L37" s="48">
        <f t="shared" si="1"/>
        <v>44.2</v>
      </c>
      <c r="M37" s="388">
        <v>0.56999999999999995</v>
      </c>
      <c r="N37" s="385">
        <f t="shared" si="2"/>
        <v>19.448399999999996</v>
      </c>
    </row>
    <row r="38" spans="1:14" ht="24.75" customHeight="1">
      <c r="A38" s="20"/>
      <c r="B38" s="20"/>
      <c r="C38" s="20">
        <v>31</v>
      </c>
      <c r="D38" s="21" t="s">
        <v>61</v>
      </c>
      <c r="E38" s="22">
        <v>29</v>
      </c>
      <c r="F38" s="209">
        <v>1.2</v>
      </c>
      <c r="G38" s="24"/>
      <c r="H38" s="25">
        <v>50</v>
      </c>
      <c r="I38" s="22">
        <v>1</v>
      </c>
      <c r="J38" s="48">
        <v>27</v>
      </c>
      <c r="K38" s="48">
        <v>4.5999999999999996</v>
      </c>
      <c r="L38" s="48">
        <f t="shared" si="1"/>
        <v>31.6</v>
      </c>
      <c r="M38" s="388">
        <v>0.56999999999999995</v>
      </c>
      <c r="N38" s="385">
        <f t="shared" si="2"/>
        <v>19.448399999999996</v>
      </c>
    </row>
    <row r="39" spans="1:14" ht="24.75" customHeight="1">
      <c r="A39" s="20"/>
      <c r="B39" s="20"/>
      <c r="C39" s="20">
        <v>32</v>
      </c>
      <c r="D39" s="21" t="s">
        <v>62</v>
      </c>
      <c r="E39" s="22">
        <v>31</v>
      </c>
      <c r="F39" s="209">
        <v>0.4</v>
      </c>
      <c r="G39" s="24"/>
      <c r="H39" s="25">
        <v>50</v>
      </c>
      <c r="I39" s="22">
        <v>1</v>
      </c>
      <c r="J39" s="48">
        <v>15</v>
      </c>
      <c r="K39" s="48">
        <v>2.2000000000000002</v>
      </c>
      <c r="L39" s="48">
        <f t="shared" si="1"/>
        <v>17.2</v>
      </c>
      <c r="M39" s="388">
        <v>0.56999999999999995</v>
      </c>
      <c r="N39" s="385">
        <f t="shared" si="2"/>
        <v>19.448399999999996</v>
      </c>
    </row>
    <row r="40" spans="1:14" ht="24.75" customHeight="1">
      <c r="A40" s="27"/>
      <c r="B40" s="27"/>
      <c r="C40" s="27">
        <v>33</v>
      </c>
      <c r="D40" s="28" t="s">
        <v>63</v>
      </c>
      <c r="E40" s="29">
        <v>13</v>
      </c>
      <c r="F40" s="210">
        <v>0.4</v>
      </c>
      <c r="G40" s="31"/>
      <c r="H40" s="32">
        <v>50</v>
      </c>
      <c r="I40" s="29">
        <v>1</v>
      </c>
      <c r="J40" s="49">
        <v>15</v>
      </c>
      <c r="K40" s="49">
        <v>2.2000000000000002</v>
      </c>
      <c r="L40" s="49">
        <f t="shared" si="1"/>
        <v>17.2</v>
      </c>
      <c r="M40" s="389">
        <v>0.56999999999999995</v>
      </c>
      <c r="N40" s="386">
        <f t="shared" si="2"/>
        <v>19.448399999999996</v>
      </c>
    </row>
    <row r="41" spans="1:14" s="11" customFormat="1" ht="30" customHeight="1">
      <c r="A41" s="397"/>
      <c r="B41" s="397" t="s">
        <v>759</v>
      </c>
      <c r="C41" s="397"/>
      <c r="D41" s="398" t="s">
        <v>760</v>
      </c>
      <c r="E41" s="399">
        <f>SUM(E5:E40)</f>
        <v>2938</v>
      </c>
      <c r="F41" s="400">
        <f>SUM(F5:F40)</f>
        <v>26.099999999999991</v>
      </c>
      <c r="G41" s="401"/>
      <c r="H41" s="399">
        <f t="shared" ref="H41:M41" si="3">SUM(H5:H40)</f>
        <v>2720</v>
      </c>
      <c r="I41" s="402">
        <f t="shared" si="3"/>
        <v>37</v>
      </c>
      <c r="J41" s="403">
        <f t="shared" si="3"/>
        <v>824.5</v>
      </c>
      <c r="K41" s="403">
        <f t="shared" si="3"/>
        <v>127.90000000000002</v>
      </c>
      <c r="L41" s="403">
        <f t="shared" si="3"/>
        <v>952.40000000000032</v>
      </c>
      <c r="M41" s="390">
        <f t="shared" si="3"/>
        <v>24.650000000000006</v>
      </c>
      <c r="N41" s="390">
        <f t="shared" ref="N41" si="4">SUM(N5:N40)</f>
        <v>841.05799999999977</v>
      </c>
    </row>
    <row r="42" spans="1:14">
      <c r="M42" s="391"/>
      <c r="N42" s="391"/>
    </row>
    <row r="43" spans="1:14" ht="30" customHeight="1">
      <c r="A43" s="645" t="s">
        <v>64</v>
      </c>
      <c r="B43" s="645"/>
      <c r="C43" s="645"/>
      <c r="D43" s="645"/>
      <c r="E43" s="645"/>
      <c r="F43" s="645"/>
      <c r="G43" s="645"/>
      <c r="H43" s="645"/>
      <c r="I43" s="645"/>
      <c r="J43" s="645"/>
      <c r="K43" s="645"/>
      <c r="L43" s="645"/>
      <c r="M43" s="391"/>
      <c r="N43" s="391"/>
    </row>
    <row r="44" spans="1:14" s="5" customFormat="1" ht="27.75" customHeight="1">
      <c r="A44" s="654" t="s">
        <v>1</v>
      </c>
      <c r="B44" s="632" t="s">
        <v>755</v>
      </c>
      <c r="C44" s="646" t="s">
        <v>21</v>
      </c>
      <c r="D44" s="647"/>
      <c r="E44" s="652" t="s">
        <v>756</v>
      </c>
      <c r="F44" s="654" t="s">
        <v>3</v>
      </c>
      <c r="G44" s="654"/>
      <c r="H44" s="654"/>
      <c r="I44" s="654"/>
      <c r="J44" s="654" t="s">
        <v>761</v>
      </c>
      <c r="K44" s="654"/>
      <c r="L44" s="654"/>
      <c r="M44" s="644" t="s">
        <v>857</v>
      </c>
      <c r="N44" s="644"/>
    </row>
    <row r="45" spans="1:14" s="5" customFormat="1" ht="40.5" customHeight="1">
      <c r="A45" s="654"/>
      <c r="B45" s="633"/>
      <c r="C45" s="648"/>
      <c r="D45" s="649"/>
      <c r="E45" s="652"/>
      <c r="F45" s="652" t="s">
        <v>757</v>
      </c>
      <c r="G45" s="652" t="s">
        <v>5</v>
      </c>
      <c r="H45" s="652" t="s">
        <v>6</v>
      </c>
      <c r="I45" s="652"/>
      <c r="J45" s="652" t="s">
        <v>22</v>
      </c>
      <c r="K45" s="652" t="s">
        <v>762</v>
      </c>
      <c r="L45" s="654" t="s">
        <v>8</v>
      </c>
      <c r="M45" s="644"/>
      <c r="N45" s="644"/>
    </row>
    <row r="46" spans="1:14" s="5" customFormat="1" ht="58.5" customHeight="1">
      <c r="A46" s="632"/>
      <c r="B46" s="634"/>
      <c r="C46" s="650"/>
      <c r="D46" s="651"/>
      <c r="E46" s="653"/>
      <c r="F46" s="653"/>
      <c r="G46" s="653"/>
      <c r="H46" s="381" t="s">
        <v>9</v>
      </c>
      <c r="I46" s="381" t="s">
        <v>10</v>
      </c>
      <c r="J46" s="653"/>
      <c r="K46" s="632"/>
      <c r="L46" s="632"/>
      <c r="M46" s="382" t="s">
        <v>753</v>
      </c>
      <c r="N46" s="383" t="s">
        <v>754</v>
      </c>
    </row>
    <row r="47" spans="1:14" ht="24.75" customHeight="1">
      <c r="A47" s="15">
        <v>2</v>
      </c>
      <c r="B47" s="35" t="s">
        <v>758</v>
      </c>
      <c r="C47" s="15">
        <v>1</v>
      </c>
      <c r="D47" s="16" t="s">
        <v>67</v>
      </c>
      <c r="E47" s="52">
        <v>190</v>
      </c>
      <c r="F47" s="215">
        <v>1.2</v>
      </c>
      <c r="G47" s="18"/>
      <c r="H47" s="52">
        <v>100</v>
      </c>
      <c r="I47" s="15">
        <v>1</v>
      </c>
      <c r="J47" s="53">
        <v>28</v>
      </c>
      <c r="K47" s="53">
        <v>4.5999999999999996</v>
      </c>
      <c r="L47" s="53">
        <f>K47+J47</f>
        <v>32.6</v>
      </c>
      <c r="M47" s="392">
        <v>0.76</v>
      </c>
      <c r="N47" s="392">
        <f t="shared" ref="N47:N61" si="5">M47*34.12</f>
        <v>25.931199999999997</v>
      </c>
    </row>
    <row r="48" spans="1:14" ht="24.75" customHeight="1">
      <c r="A48" s="22"/>
      <c r="B48" s="54" t="s">
        <v>763</v>
      </c>
      <c r="C48" s="22">
        <v>2</v>
      </c>
      <c r="D48" s="21" t="s">
        <v>68</v>
      </c>
      <c r="E48" s="55">
        <v>300</v>
      </c>
      <c r="F48" s="216">
        <v>1.5</v>
      </c>
      <c r="G48" s="24"/>
      <c r="H48" s="55">
        <v>160</v>
      </c>
      <c r="I48" s="22">
        <v>1</v>
      </c>
      <c r="J48" s="57">
        <v>33.5</v>
      </c>
      <c r="K48" s="57">
        <v>5.5</v>
      </c>
      <c r="L48" s="57">
        <f t="shared" ref="L48:L61" si="6">K48+J48</f>
        <v>39</v>
      </c>
      <c r="M48" s="393">
        <v>0.8</v>
      </c>
      <c r="N48" s="394">
        <f t="shared" si="5"/>
        <v>27.295999999999999</v>
      </c>
    </row>
    <row r="49" spans="1:14" ht="24.75" customHeight="1">
      <c r="A49" s="22"/>
      <c r="B49" s="22"/>
      <c r="C49" s="22">
        <v>3</v>
      </c>
      <c r="D49" s="21" t="s">
        <v>69</v>
      </c>
      <c r="E49" s="55">
        <v>82</v>
      </c>
      <c r="F49" s="216">
        <v>1.3</v>
      </c>
      <c r="G49" s="24"/>
      <c r="H49" s="55">
        <v>50</v>
      </c>
      <c r="I49" s="22">
        <v>1</v>
      </c>
      <c r="J49" s="57">
        <v>28.5</v>
      </c>
      <c r="K49" s="57">
        <v>4.9000000000000004</v>
      </c>
      <c r="L49" s="57">
        <f t="shared" si="6"/>
        <v>33.4</v>
      </c>
      <c r="M49" s="393">
        <v>0.56999999999999995</v>
      </c>
      <c r="N49" s="394">
        <f t="shared" si="5"/>
        <v>19.448399999999996</v>
      </c>
    </row>
    <row r="50" spans="1:14" ht="24.75" customHeight="1">
      <c r="A50" s="22"/>
      <c r="B50" s="22"/>
      <c r="C50" s="22">
        <v>4</v>
      </c>
      <c r="D50" s="21" t="s">
        <v>70</v>
      </c>
      <c r="E50" s="55">
        <v>78</v>
      </c>
      <c r="F50" s="216">
        <v>2</v>
      </c>
      <c r="G50" s="24"/>
      <c r="H50" s="55">
        <v>100</v>
      </c>
      <c r="I50" s="22">
        <v>1</v>
      </c>
      <c r="J50" s="57">
        <v>40</v>
      </c>
      <c r="K50" s="57">
        <v>7</v>
      </c>
      <c r="L50" s="57">
        <f t="shared" si="6"/>
        <v>47</v>
      </c>
      <c r="M50" s="393">
        <v>0.76</v>
      </c>
      <c r="N50" s="394">
        <f t="shared" si="5"/>
        <v>25.931199999999997</v>
      </c>
    </row>
    <row r="51" spans="1:14" ht="24.75" customHeight="1">
      <c r="A51" s="22"/>
      <c r="B51" s="22"/>
      <c r="C51" s="22">
        <v>5</v>
      </c>
      <c r="D51" s="58" t="s">
        <v>71</v>
      </c>
      <c r="E51" s="55">
        <v>250</v>
      </c>
      <c r="F51" s="216">
        <v>2</v>
      </c>
      <c r="G51" s="24"/>
      <c r="H51" s="55">
        <v>100</v>
      </c>
      <c r="I51" s="22">
        <v>1</v>
      </c>
      <c r="J51" s="57">
        <v>40</v>
      </c>
      <c r="K51" s="57">
        <v>7</v>
      </c>
      <c r="L51" s="57">
        <f t="shared" si="6"/>
        <v>47</v>
      </c>
      <c r="M51" s="394">
        <v>0.76</v>
      </c>
      <c r="N51" s="394">
        <f t="shared" si="5"/>
        <v>25.931199999999997</v>
      </c>
    </row>
    <row r="52" spans="1:14" ht="24.75" customHeight="1">
      <c r="A52" s="22"/>
      <c r="B52" s="22"/>
      <c r="C52" s="22">
        <v>6</v>
      </c>
      <c r="D52" s="21" t="s">
        <v>72</v>
      </c>
      <c r="E52" s="55">
        <v>38</v>
      </c>
      <c r="F52" s="216">
        <v>1.6</v>
      </c>
      <c r="G52" s="24"/>
      <c r="H52" s="55">
        <v>50</v>
      </c>
      <c r="I52" s="22">
        <v>1</v>
      </c>
      <c r="J52" s="57">
        <v>33</v>
      </c>
      <c r="K52" s="57">
        <v>5.8</v>
      </c>
      <c r="L52" s="57">
        <f t="shared" si="6"/>
        <v>38.799999999999997</v>
      </c>
      <c r="M52" s="394">
        <v>0.56999999999999995</v>
      </c>
      <c r="N52" s="394">
        <f t="shared" si="5"/>
        <v>19.448399999999996</v>
      </c>
    </row>
    <row r="53" spans="1:14" ht="24.75" customHeight="1">
      <c r="A53" s="22"/>
      <c r="B53" s="22"/>
      <c r="C53" s="22">
        <v>7</v>
      </c>
      <c r="D53" s="21" t="s">
        <v>73</v>
      </c>
      <c r="E53" s="55">
        <v>18</v>
      </c>
      <c r="F53" s="216">
        <v>0.8</v>
      </c>
      <c r="G53" s="24"/>
      <c r="H53" s="55">
        <v>50</v>
      </c>
      <c r="I53" s="22">
        <v>1</v>
      </c>
      <c r="J53" s="57">
        <v>21</v>
      </c>
      <c r="K53" s="57">
        <v>3.4</v>
      </c>
      <c r="L53" s="57">
        <f t="shared" si="6"/>
        <v>24.4</v>
      </c>
      <c r="M53" s="394">
        <v>0.56999999999999995</v>
      </c>
      <c r="N53" s="394">
        <f t="shared" si="5"/>
        <v>19.448399999999996</v>
      </c>
    </row>
    <row r="54" spans="1:14" ht="24.75" customHeight="1">
      <c r="A54" s="22"/>
      <c r="B54" s="22"/>
      <c r="C54" s="22">
        <v>8</v>
      </c>
      <c r="D54" s="21" t="s">
        <v>74</v>
      </c>
      <c r="E54" s="55">
        <v>113</v>
      </c>
      <c r="F54" s="216">
        <v>0.4</v>
      </c>
      <c r="G54" s="24"/>
      <c r="H54" s="55">
        <v>100</v>
      </c>
      <c r="I54" s="22">
        <v>1</v>
      </c>
      <c r="J54" s="57">
        <v>16</v>
      </c>
      <c r="K54" s="57">
        <v>2.2000000000000002</v>
      </c>
      <c r="L54" s="57">
        <f t="shared" si="6"/>
        <v>18.2</v>
      </c>
      <c r="M54" s="394">
        <v>0.76</v>
      </c>
      <c r="N54" s="394">
        <f t="shared" si="5"/>
        <v>25.931199999999997</v>
      </c>
    </row>
    <row r="55" spans="1:14" ht="24.75" customHeight="1">
      <c r="A55" s="22"/>
      <c r="B55" s="22"/>
      <c r="C55" s="22">
        <v>9</v>
      </c>
      <c r="D55" s="21" t="s">
        <v>71</v>
      </c>
      <c r="E55" s="55">
        <v>78</v>
      </c>
      <c r="F55" s="216">
        <v>0.8</v>
      </c>
      <c r="G55" s="24"/>
      <c r="H55" s="55">
        <v>100</v>
      </c>
      <c r="I55" s="22">
        <v>1</v>
      </c>
      <c r="J55" s="57">
        <v>22</v>
      </c>
      <c r="K55" s="57">
        <v>3.4</v>
      </c>
      <c r="L55" s="57">
        <f t="shared" si="6"/>
        <v>25.4</v>
      </c>
      <c r="M55" s="394">
        <v>0.76</v>
      </c>
      <c r="N55" s="394">
        <f t="shared" si="5"/>
        <v>25.931199999999997</v>
      </c>
    </row>
    <row r="56" spans="1:14" ht="24.75" customHeight="1">
      <c r="A56" s="22"/>
      <c r="B56" s="22"/>
      <c r="C56" s="22">
        <v>10</v>
      </c>
      <c r="D56" s="21" t="s">
        <v>75</v>
      </c>
      <c r="E56" s="55">
        <v>105</v>
      </c>
      <c r="F56" s="216">
        <v>0.8</v>
      </c>
      <c r="G56" s="24"/>
      <c r="H56" s="55">
        <v>100</v>
      </c>
      <c r="I56" s="22">
        <v>1</v>
      </c>
      <c r="J56" s="57">
        <v>22</v>
      </c>
      <c r="K56" s="57">
        <v>3.4</v>
      </c>
      <c r="L56" s="57">
        <f t="shared" si="6"/>
        <v>25.4</v>
      </c>
      <c r="M56" s="394">
        <v>0.76</v>
      </c>
      <c r="N56" s="394">
        <f t="shared" si="5"/>
        <v>25.931199999999997</v>
      </c>
    </row>
    <row r="57" spans="1:14" ht="24.75" customHeight="1">
      <c r="A57" s="22"/>
      <c r="B57" s="22"/>
      <c r="C57" s="22">
        <v>11</v>
      </c>
      <c r="D57" s="21" t="s">
        <v>76</v>
      </c>
      <c r="E57" s="55">
        <v>223</v>
      </c>
      <c r="F57" s="216">
        <v>1.2</v>
      </c>
      <c r="G57" s="24"/>
      <c r="H57" s="55">
        <v>160</v>
      </c>
      <c r="I57" s="22">
        <v>1</v>
      </c>
      <c r="J57" s="57">
        <v>29</v>
      </c>
      <c r="K57" s="57">
        <v>4.5999999999999996</v>
      </c>
      <c r="L57" s="57">
        <f t="shared" si="6"/>
        <v>33.6</v>
      </c>
      <c r="M57" s="394">
        <v>0.8</v>
      </c>
      <c r="N57" s="394">
        <f t="shared" si="5"/>
        <v>27.295999999999999</v>
      </c>
    </row>
    <row r="58" spans="1:14" ht="24.75" customHeight="1">
      <c r="A58" s="22"/>
      <c r="B58" s="22"/>
      <c r="C58" s="22">
        <v>12</v>
      </c>
      <c r="D58" s="21" t="s">
        <v>77</v>
      </c>
      <c r="E58" s="55">
        <v>53</v>
      </c>
      <c r="F58" s="216">
        <v>0.7</v>
      </c>
      <c r="G58" s="24"/>
      <c r="H58" s="55">
        <v>100</v>
      </c>
      <c r="I58" s="22">
        <v>1</v>
      </c>
      <c r="J58" s="57">
        <v>20.5</v>
      </c>
      <c r="K58" s="57">
        <v>3.1</v>
      </c>
      <c r="L58" s="57">
        <f t="shared" si="6"/>
        <v>23.6</v>
      </c>
      <c r="M58" s="394">
        <v>0.76</v>
      </c>
      <c r="N58" s="394">
        <f t="shared" si="5"/>
        <v>25.931199999999997</v>
      </c>
    </row>
    <row r="59" spans="1:14" ht="24.75" customHeight="1">
      <c r="A59" s="22"/>
      <c r="B59" s="22"/>
      <c r="C59" s="22">
        <v>13</v>
      </c>
      <c r="D59" s="21" t="s">
        <v>78</v>
      </c>
      <c r="E59" s="55">
        <v>53</v>
      </c>
      <c r="F59" s="216">
        <v>0.5</v>
      </c>
      <c r="G59" s="24"/>
      <c r="H59" s="55">
        <v>100</v>
      </c>
      <c r="I59" s="22">
        <v>1</v>
      </c>
      <c r="J59" s="57">
        <v>17.5</v>
      </c>
      <c r="K59" s="57">
        <v>2.5</v>
      </c>
      <c r="L59" s="57">
        <f t="shared" si="6"/>
        <v>20</v>
      </c>
      <c r="M59" s="394">
        <v>0.76</v>
      </c>
      <c r="N59" s="394">
        <f t="shared" si="5"/>
        <v>25.931199999999997</v>
      </c>
    </row>
    <row r="60" spans="1:14" ht="24.75" customHeight="1">
      <c r="A60" s="22"/>
      <c r="B60" s="22"/>
      <c r="C60" s="22">
        <v>14</v>
      </c>
      <c r="D60" s="21" t="s">
        <v>79</v>
      </c>
      <c r="E60" s="55">
        <v>105</v>
      </c>
      <c r="F60" s="216">
        <v>0.2</v>
      </c>
      <c r="G60" s="24"/>
      <c r="H60" s="55">
        <v>50</v>
      </c>
      <c r="I60" s="22">
        <v>1</v>
      </c>
      <c r="J60" s="57">
        <v>12</v>
      </c>
      <c r="K60" s="57">
        <v>1.6</v>
      </c>
      <c r="L60" s="57">
        <f t="shared" si="6"/>
        <v>13.6</v>
      </c>
      <c r="M60" s="394">
        <v>0.56999999999999995</v>
      </c>
      <c r="N60" s="394">
        <f t="shared" si="5"/>
        <v>19.448399999999996</v>
      </c>
    </row>
    <row r="61" spans="1:14" ht="24.75" customHeight="1">
      <c r="A61" s="29"/>
      <c r="B61" s="29"/>
      <c r="C61" s="29">
        <v>15</v>
      </c>
      <c r="D61" s="28" t="s">
        <v>80</v>
      </c>
      <c r="E61" s="59">
        <v>178</v>
      </c>
      <c r="F61" s="217">
        <v>0.8</v>
      </c>
      <c r="G61" s="31"/>
      <c r="H61" s="59">
        <v>50</v>
      </c>
      <c r="I61" s="29">
        <v>1</v>
      </c>
      <c r="J61" s="60">
        <v>21</v>
      </c>
      <c r="K61" s="60">
        <v>3.4</v>
      </c>
      <c r="L61" s="60">
        <f t="shared" si="6"/>
        <v>24.4</v>
      </c>
      <c r="M61" s="395">
        <v>0.56999999999999995</v>
      </c>
      <c r="N61" s="395">
        <f t="shared" si="5"/>
        <v>19.448399999999996</v>
      </c>
    </row>
    <row r="62" spans="1:14" s="71" customFormat="1" ht="27" customHeight="1">
      <c r="A62" s="64"/>
      <c r="B62" s="64" t="s">
        <v>759</v>
      </c>
      <c r="C62" s="64"/>
      <c r="D62" s="65" t="s">
        <v>764</v>
      </c>
      <c r="E62" s="66">
        <f>SUM(E47:E61)</f>
        <v>1864</v>
      </c>
      <c r="F62" s="67">
        <f>SUM(F47:F61)</f>
        <v>15.8</v>
      </c>
      <c r="G62" s="68"/>
      <c r="H62" s="66">
        <f>SUM(H47:H61)</f>
        <v>1370</v>
      </c>
      <c r="I62" s="66">
        <f>SUM(I47:I61)</f>
        <v>15</v>
      </c>
      <c r="J62" s="69">
        <f>SUM(J47:J61)</f>
        <v>384</v>
      </c>
      <c r="K62" s="69">
        <f>SUM(K47:K61)</f>
        <v>62.4</v>
      </c>
      <c r="L62" s="70">
        <f>SUM(L47:L61)</f>
        <v>446.4</v>
      </c>
      <c r="M62" s="396">
        <f t="shared" ref="M62:N62" si="7">SUM(M47:M61)</f>
        <v>10.53</v>
      </c>
      <c r="N62" s="396">
        <f t="shared" si="7"/>
        <v>359.28359999999992</v>
      </c>
    </row>
    <row r="63" spans="1:14" s="71" customFormat="1" ht="26.25" customHeight="1">
      <c r="A63" s="64"/>
      <c r="B63" s="64" t="s">
        <v>759</v>
      </c>
      <c r="C63" s="64"/>
      <c r="D63" s="65" t="s">
        <v>765</v>
      </c>
      <c r="E63" s="66">
        <f>E62+E41</f>
        <v>4802</v>
      </c>
      <c r="F63" s="67">
        <f>F62+F41</f>
        <v>41.899999999999991</v>
      </c>
      <c r="G63" s="66"/>
      <c r="H63" s="66">
        <f>H62+H41</f>
        <v>4090</v>
      </c>
      <c r="I63" s="66">
        <f>I62+I41</f>
        <v>52</v>
      </c>
      <c r="J63" s="69">
        <f>J62+J41</f>
        <v>1208.5</v>
      </c>
      <c r="K63" s="69">
        <f>K62+K41</f>
        <v>190.3</v>
      </c>
      <c r="L63" s="69">
        <f>L62+L41</f>
        <v>1398.8000000000002</v>
      </c>
      <c r="M63" s="390">
        <f t="shared" ref="M63:N63" si="8">M62+M41</f>
        <v>35.180000000000007</v>
      </c>
      <c r="N63" s="390">
        <f t="shared" si="8"/>
        <v>1200.3415999999997</v>
      </c>
    </row>
    <row r="67" spans="6:6">
      <c r="F67" s="13" t="s">
        <v>81</v>
      </c>
    </row>
  </sheetData>
  <mergeCells count="41">
    <mergeCell ref="E44:E46"/>
    <mergeCell ref="F44:I44"/>
    <mergeCell ref="J2:L2"/>
    <mergeCell ref="F3:F4"/>
    <mergeCell ref="G3:G4"/>
    <mergeCell ref="F23:F24"/>
    <mergeCell ref="G23:G24"/>
    <mergeCell ref="H23:I23"/>
    <mergeCell ref="J44:L44"/>
    <mergeCell ref="C44:D46"/>
    <mergeCell ref="H3:I3"/>
    <mergeCell ref="J23:J24"/>
    <mergeCell ref="K23:K24"/>
    <mergeCell ref="L23:L24"/>
    <mergeCell ref="A43:L43"/>
    <mergeCell ref="J3:J4"/>
    <mergeCell ref="K3:K4"/>
    <mergeCell ref="L3:L4"/>
    <mergeCell ref="A22:A24"/>
    <mergeCell ref="E22:E24"/>
    <mergeCell ref="F22:I22"/>
    <mergeCell ref="J22:L22"/>
    <mergeCell ref="A2:A4"/>
    <mergeCell ref="E2:E4"/>
    <mergeCell ref="F2:I2"/>
    <mergeCell ref="M44:N45"/>
    <mergeCell ref="M2:N3"/>
    <mergeCell ref="M22:N23"/>
    <mergeCell ref="A1:N1"/>
    <mergeCell ref="B2:B4"/>
    <mergeCell ref="C2:D4"/>
    <mergeCell ref="B22:B24"/>
    <mergeCell ref="C22:D24"/>
    <mergeCell ref="B44:B46"/>
    <mergeCell ref="F45:F46"/>
    <mergeCell ref="G45:G46"/>
    <mergeCell ref="H45:I45"/>
    <mergeCell ref="J45:J46"/>
    <mergeCell ref="K45:K46"/>
    <mergeCell ref="L45:L46"/>
    <mergeCell ref="A44:A46"/>
  </mergeCells>
  <pageMargins left="0.25" right="0" top="0.25" bottom="0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12"/>
  <sheetViews>
    <sheetView workbookViewId="0">
      <selection activeCell="M2" sqref="M2:N3"/>
    </sheetView>
  </sheetViews>
  <sheetFormatPr defaultRowHeight="16.5"/>
  <cols>
    <col min="1" max="1" width="7.42578125" style="2" customWidth="1"/>
    <col min="2" max="2" width="15.140625" style="2" customWidth="1"/>
    <col min="3" max="3" width="4.85546875" style="2" customWidth="1"/>
    <col min="4" max="4" width="21.5703125" style="12" customWidth="1"/>
    <col min="5" max="5" width="8.28515625" style="12" customWidth="1"/>
    <col min="6" max="6" width="9" style="13" customWidth="1"/>
    <col min="7" max="7" width="9.5703125" style="13" customWidth="1"/>
    <col min="8" max="8" width="10" style="13" customWidth="1"/>
    <col min="9" max="9" width="6.85546875" style="13" customWidth="1"/>
    <col min="10" max="10" width="9.140625" style="12" customWidth="1"/>
    <col min="11" max="11" width="9.5703125" style="2" customWidth="1"/>
    <col min="12" max="12" width="12" style="2" customWidth="1"/>
    <col min="13" max="13" width="9.140625" style="378"/>
    <col min="14" max="14" width="11" style="378" customWidth="1"/>
    <col min="15" max="16384" width="9.140625" style="2"/>
  </cols>
  <sheetData>
    <row r="1" spans="1:14" ht="24.75" customHeight="1">
      <c r="A1" s="645" t="s">
        <v>82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4" ht="24.95" customHeight="1">
      <c r="A5" s="15">
        <v>3</v>
      </c>
      <c r="B5" s="35" t="s">
        <v>14</v>
      </c>
      <c r="C5" s="15"/>
      <c r="D5" s="81" t="s">
        <v>13</v>
      </c>
      <c r="E5" s="82">
        <v>52</v>
      </c>
      <c r="F5" s="83">
        <v>1.23</v>
      </c>
      <c r="G5" s="18"/>
      <c r="H5" s="82">
        <v>50</v>
      </c>
      <c r="I5" s="15">
        <v>1</v>
      </c>
      <c r="J5" s="84">
        <v>27.45</v>
      </c>
      <c r="K5" s="84">
        <v>4.6900000000000004</v>
      </c>
      <c r="L5" s="85">
        <f>K5+J5</f>
        <v>32.14</v>
      </c>
      <c r="M5" s="404">
        <v>0.56999999999999995</v>
      </c>
      <c r="N5" s="404">
        <f>34.12*M5</f>
        <v>19.448399999999996</v>
      </c>
    </row>
    <row r="6" spans="1:14" ht="24.95" customHeight="1">
      <c r="A6" s="22"/>
      <c r="B6" s="54" t="s">
        <v>768</v>
      </c>
      <c r="C6" s="22"/>
      <c r="D6" s="86" t="s">
        <v>83</v>
      </c>
      <c r="E6" s="87">
        <v>50</v>
      </c>
      <c r="F6" s="88">
        <v>0.08</v>
      </c>
      <c r="G6" s="24"/>
      <c r="H6" s="87">
        <v>50</v>
      </c>
      <c r="I6" s="22">
        <v>1</v>
      </c>
      <c r="J6" s="89">
        <v>10.199999999999999</v>
      </c>
      <c r="K6" s="89">
        <v>1.24</v>
      </c>
      <c r="L6" s="90">
        <f t="shared" ref="L6:L52" si="0">K6+J6</f>
        <v>11.44</v>
      </c>
      <c r="M6" s="405">
        <v>1.57</v>
      </c>
      <c r="N6" s="405">
        <f t="shared" ref="N6:N18" si="1">34.12*M6</f>
        <v>53.568399999999997</v>
      </c>
    </row>
    <row r="7" spans="1:14" ht="24.95" customHeight="1">
      <c r="A7" s="22"/>
      <c r="B7" s="22"/>
      <c r="C7" s="22"/>
      <c r="D7" s="86" t="s">
        <v>84</v>
      </c>
      <c r="E7" s="87">
        <v>68</v>
      </c>
      <c r="F7" s="88">
        <v>0.27</v>
      </c>
      <c r="G7" s="24"/>
      <c r="H7" s="87">
        <v>50</v>
      </c>
      <c r="I7" s="22">
        <v>1</v>
      </c>
      <c r="J7" s="89">
        <v>13.05</v>
      </c>
      <c r="K7" s="89">
        <v>1.81</v>
      </c>
      <c r="L7" s="90">
        <f t="shared" si="0"/>
        <v>14.860000000000001</v>
      </c>
      <c r="M7" s="405">
        <v>0.56999999999999995</v>
      </c>
      <c r="N7" s="405">
        <f t="shared" si="1"/>
        <v>19.448399999999996</v>
      </c>
    </row>
    <row r="8" spans="1:14" ht="24.95" customHeight="1">
      <c r="A8" s="22"/>
      <c r="B8" s="22"/>
      <c r="C8" s="22"/>
      <c r="D8" s="86" t="s">
        <v>85</v>
      </c>
      <c r="E8" s="87">
        <v>35</v>
      </c>
      <c r="F8" s="88">
        <v>0.45</v>
      </c>
      <c r="G8" s="24"/>
      <c r="H8" s="87">
        <v>50</v>
      </c>
      <c r="I8" s="22">
        <v>1</v>
      </c>
      <c r="J8" s="89">
        <v>15.75</v>
      </c>
      <c r="K8" s="89">
        <v>2.35</v>
      </c>
      <c r="L8" s="90">
        <f t="shared" si="0"/>
        <v>18.100000000000001</v>
      </c>
      <c r="M8" s="405">
        <v>0.56999999999999995</v>
      </c>
      <c r="N8" s="405">
        <f t="shared" si="1"/>
        <v>19.448399999999996</v>
      </c>
    </row>
    <row r="9" spans="1:14" ht="24.95" customHeight="1">
      <c r="A9" s="22"/>
      <c r="B9" s="22"/>
      <c r="C9" s="22"/>
      <c r="D9" s="86" t="s">
        <v>86</v>
      </c>
      <c r="E9" s="87">
        <v>60</v>
      </c>
      <c r="F9" s="88">
        <v>0.61</v>
      </c>
      <c r="G9" s="24"/>
      <c r="H9" s="87">
        <v>50</v>
      </c>
      <c r="I9" s="22">
        <v>1</v>
      </c>
      <c r="J9" s="89">
        <v>18.149999999999999</v>
      </c>
      <c r="K9" s="89">
        <v>2.83</v>
      </c>
      <c r="L9" s="90">
        <f t="shared" si="0"/>
        <v>20.979999999999997</v>
      </c>
      <c r="M9" s="405">
        <v>0.56999999999999995</v>
      </c>
      <c r="N9" s="405">
        <f t="shared" si="1"/>
        <v>19.448399999999996</v>
      </c>
    </row>
    <row r="10" spans="1:14" ht="24.95" customHeight="1">
      <c r="A10" s="22"/>
      <c r="B10" s="22"/>
      <c r="C10" s="22"/>
      <c r="D10" s="86" t="s">
        <v>87</v>
      </c>
      <c r="E10" s="87">
        <v>30</v>
      </c>
      <c r="F10" s="88">
        <v>1.1399999999999999</v>
      </c>
      <c r="G10" s="24"/>
      <c r="H10" s="87">
        <v>50</v>
      </c>
      <c r="I10" s="22">
        <v>1</v>
      </c>
      <c r="J10" s="89">
        <v>26.1</v>
      </c>
      <c r="K10" s="89">
        <v>4.42</v>
      </c>
      <c r="L10" s="90">
        <f t="shared" si="0"/>
        <v>30.520000000000003</v>
      </c>
      <c r="M10" s="405">
        <v>0.56999999999999995</v>
      </c>
      <c r="N10" s="405">
        <f t="shared" si="1"/>
        <v>19.448399999999996</v>
      </c>
    </row>
    <row r="11" spans="1:14" ht="24.95" customHeight="1">
      <c r="A11" s="22"/>
      <c r="B11" s="22"/>
      <c r="C11" s="22"/>
      <c r="D11" s="86" t="s">
        <v>88</v>
      </c>
      <c r="E11" s="87">
        <v>150</v>
      </c>
      <c r="F11" s="88">
        <v>1.23</v>
      </c>
      <c r="G11" s="24"/>
      <c r="H11" s="87">
        <v>100</v>
      </c>
      <c r="I11" s="22">
        <v>1</v>
      </c>
      <c r="J11" s="89">
        <v>28.45</v>
      </c>
      <c r="K11" s="89">
        <v>4.6900000000000004</v>
      </c>
      <c r="L11" s="90">
        <f t="shared" si="0"/>
        <v>33.14</v>
      </c>
      <c r="M11" s="405">
        <v>0.76</v>
      </c>
      <c r="N11" s="405">
        <f t="shared" si="1"/>
        <v>25.931199999999997</v>
      </c>
    </row>
    <row r="12" spans="1:14" ht="24.95" customHeight="1">
      <c r="A12" s="22"/>
      <c r="B12" s="22"/>
      <c r="C12" s="22"/>
      <c r="D12" s="86" t="s">
        <v>89</v>
      </c>
      <c r="E12" s="87">
        <v>80</v>
      </c>
      <c r="F12" s="88">
        <v>0.8</v>
      </c>
      <c r="G12" s="24"/>
      <c r="H12" s="87">
        <v>50</v>
      </c>
      <c r="I12" s="22">
        <v>1</v>
      </c>
      <c r="J12" s="89">
        <v>21</v>
      </c>
      <c r="K12" s="89">
        <v>3.4</v>
      </c>
      <c r="L12" s="90">
        <f t="shared" si="0"/>
        <v>24.4</v>
      </c>
      <c r="M12" s="405">
        <v>0.56999999999999995</v>
      </c>
      <c r="N12" s="405">
        <f t="shared" si="1"/>
        <v>19.448399999999996</v>
      </c>
    </row>
    <row r="13" spans="1:14" ht="24.95" customHeight="1">
      <c r="A13" s="22"/>
      <c r="B13" s="22"/>
      <c r="C13" s="22"/>
      <c r="D13" s="86" t="s">
        <v>90</v>
      </c>
      <c r="E13" s="87">
        <v>110</v>
      </c>
      <c r="F13" s="88">
        <v>0.09</v>
      </c>
      <c r="G13" s="24"/>
      <c r="H13" s="87">
        <v>100</v>
      </c>
      <c r="I13" s="22">
        <v>1</v>
      </c>
      <c r="J13" s="89">
        <v>11.35</v>
      </c>
      <c r="K13" s="89">
        <v>1.27</v>
      </c>
      <c r="L13" s="90">
        <f t="shared" si="0"/>
        <v>12.62</v>
      </c>
      <c r="M13" s="405">
        <v>0.76</v>
      </c>
      <c r="N13" s="405">
        <f t="shared" si="1"/>
        <v>25.931199999999997</v>
      </c>
    </row>
    <row r="14" spans="1:14" ht="24.95" customHeight="1">
      <c r="A14" s="22"/>
      <c r="B14" s="22"/>
      <c r="C14" s="22"/>
      <c r="D14" s="86" t="s">
        <v>91</v>
      </c>
      <c r="E14" s="87">
        <v>130</v>
      </c>
      <c r="F14" s="88">
        <v>1.19</v>
      </c>
      <c r="G14" s="24"/>
      <c r="H14" s="87">
        <v>100</v>
      </c>
      <c r="I14" s="22">
        <v>1</v>
      </c>
      <c r="J14" s="89">
        <v>27.85</v>
      </c>
      <c r="K14" s="89">
        <v>4.57</v>
      </c>
      <c r="L14" s="90">
        <f t="shared" si="0"/>
        <v>32.42</v>
      </c>
      <c r="M14" s="405">
        <v>0.76</v>
      </c>
      <c r="N14" s="405">
        <f t="shared" si="1"/>
        <v>25.931199999999997</v>
      </c>
    </row>
    <row r="15" spans="1:14" ht="24.95" customHeight="1">
      <c r="A15" s="22"/>
      <c r="B15" s="22"/>
      <c r="C15" s="22"/>
      <c r="D15" s="86" t="s">
        <v>92</v>
      </c>
      <c r="E15" s="87">
        <v>70</v>
      </c>
      <c r="F15" s="88">
        <v>0.06</v>
      </c>
      <c r="G15" s="24"/>
      <c r="H15" s="87">
        <v>50</v>
      </c>
      <c r="I15" s="22">
        <v>1</v>
      </c>
      <c r="J15" s="89">
        <v>9.9</v>
      </c>
      <c r="K15" s="89">
        <v>1.18</v>
      </c>
      <c r="L15" s="90">
        <f t="shared" si="0"/>
        <v>11.08</v>
      </c>
      <c r="M15" s="405">
        <v>0.56999999999999995</v>
      </c>
      <c r="N15" s="405">
        <f t="shared" si="1"/>
        <v>19.448399999999996</v>
      </c>
    </row>
    <row r="16" spans="1:14" ht="24.95" customHeight="1">
      <c r="A16" s="22"/>
      <c r="B16" s="22"/>
      <c r="C16" s="22"/>
      <c r="D16" s="86" t="s">
        <v>93</v>
      </c>
      <c r="E16" s="87">
        <v>120</v>
      </c>
      <c r="F16" s="88">
        <v>0.47</v>
      </c>
      <c r="G16" s="24"/>
      <c r="H16" s="87">
        <v>100</v>
      </c>
      <c r="I16" s="22">
        <v>1</v>
      </c>
      <c r="J16" s="89">
        <v>17.05</v>
      </c>
      <c r="K16" s="89">
        <v>2.41</v>
      </c>
      <c r="L16" s="90">
        <f t="shared" si="0"/>
        <v>19.46</v>
      </c>
      <c r="M16" s="405">
        <v>0.76</v>
      </c>
      <c r="N16" s="405">
        <f t="shared" si="1"/>
        <v>25.931199999999997</v>
      </c>
    </row>
    <row r="17" spans="1:14" ht="24.95" customHeight="1">
      <c r="A17" s="22"/>
      <c r="B17" s="22"/>
      <c r="C17" s="22"/>
      <c r="D17" s="86" t="s">
        <v>94</v>
      </c>
      <c r="E17" s="87">
        <v>70</v>
      </c>
      <c r="F17" s="88">
        <v>0.27</v>
      </c>
      <c r="G17" s="24"/>
      <c r="H17" s="87">
        <v>50</v>
      </c>
      <c r="I17" s="22">
        <v>1</v>
      </c>
      <c r="J17" s="89">
        <v>13.05</v>
      </c>
      <c r="K17" s="89">
        <v>1.81</v>
      </c>
      <c r="L17" s="90">
        <f t="shared" si="0"/>
        <v>14.860000000000001</v>
      </c>
      <c r="M17" s="405">
        <v>0.56999999999999995</v>
      </c>
      <c r="N17" s="405">
        <f t="shared" si="1"/>
        <v>19.448399999999996</v>
      </c>
    </row>
    <row r="18" spans="1:14" ht="24.95" customHeight="1">
      <c r="A18" s="22"/>
      <c r="B18" s="22"/>
      <c r="C18" s="22"/>
      <c r="D18" s="86" t="s">
        <v>95</v>
      </c>
      <c r="E18" s="87">
        <v>75</v>
      </c>
      <c r="F18" s="88">
        <v>0.85</v>
      </c>
      <c r="G18" s="24"/>
      <c r="H18" s="87">
        <v>50</v>
      </c>
      <c r="I18" s="22">
        <v>1</v>
      </c>
      <c r="J18" s="89">
        <v>21.75</v>
      </c>
      <c r="K18" s="89">
        <v>3.55</v>
      </c>
      <c r="L18" s="90">
        <f t="shared" si="0"/>
        <v>25.3</v>
      </c>
      <c r="M18" s="405">
        <v>0.56999999999999995</v>
      </c>
      <c r="N18" s="405">
        <f t="shared" si="1"/>
        <v>19.448399999999996</v>
      </c>
    </row>
    <row r="19" spans="1:14" ht="24.95" customHeight="1">
      <c r="A19" s="29"/>
      <c r="B19" s="29"/>
      <c r="C19" s="29"/>
      <c r="D19" s="91" t="s">
        <v>96</v>
      </c>
      <c r="E19" s="92">
        <v>90</v>
      </c>
      <c r="F19" s="93">
        <v>1.1399999999999999</v>
      </c>
      <c r="G19" s="31"/>
      <c r="H19" s="92">
        <v>100</v>
      </c>
      <c r="I19" s="29">
        <v>1</v>
      </c>
      <c r="J19" s="94">
        <v>27.1</v>
      </c>
      <c r="K19" s="94">
        <v>4.42</v>
      </c>
      <c r="L19" s="95">
        <f t="shared" si="0"/>
        <v>31.520000000000003</v>
      </c>
      <c r="M19" s="406">
        <v>0.76</v>
      </c>
      <c r="N19" s="406">
        <f>34.12*M19</f>
        <v>25.931199999999997</v>
      </c>
    </row>
    <row r="20" spans="1:14" ht="24.75" customHeight="1">
      <c r="A20" s="74"/>
      <c r="B20" s="74"/>
      <c r="C20" s="74"/>
      <c r="D20" s="75"/>
      <c r="E20" s="76"/>
      <c r="F20" s="77"/>
      <c r="G20" s="2"/>
      <c r="H20" s="76"/>
      <c r="I20" s="74"/>
      <c r="J20" s="78"/>
      <c r="K20" s="78"/>
      <c r="L20" s="79"/>
    </row>
    <row r="21" spans="1:14" ht="24.75" customHeight="1">
      <c r="A21" s="74"/>
      <c r="B21" s="74"/>
      <c r="C21" s="74"/>
      <c r="D21" s="75"/>
      <c r="E21" s="76"/>
      <c r="F21" s="77"/>
      <c r="G21" s="2"/>
      <c r="H21" s="76"/>
      <c r="I21" s="74"/>
      <c r="J21" s="78"/>
      <c r="K21" s="78"/>
      <c r="L21" s="79"/>
    </row>
    <row r="22" spans="1:14" ht="32.25" customHeight="1">
      <c r="A22" s="645" t="s">
        <v>82</v>
      </c>
      <c r="B22" s="645"/>
      <c r="C22" s="645"/>
      <c r="D22" s="645"/>
      <c r="E22" s="645"/>
      <c r="F22" s="645"/>
      <c r="G22" s="645"/>
      <c r="H22" s="645"/>
      <c r="I22" s="645"/>
      <c r="J22" s="645"/>
      <c r="K22" s="645"/>
      <c r="L22" s="645"/>
    </row>
    <row r="23" spans="1:14" s="5" customFormat="1" ht="27.75" customHeight="1">
      <c r="A23" s="654" t="s">
        <v>1</v>
      </c>
      <c r="B23" s="632" t="s">
        <v>755</v>
      </c>
      <c r="C23" s="646" t="s">
        <v>21</v>
      </c>
      <c r="D23" s="647"/>
      <c r="E23" s="652" t="s">
        <v>756</v>
      </c>
      <c r="F23" s="654" t="s">
        <v>3</v>
      </c>
      <c r="G23" s="654"/>
      <c r="H23" s="654"/>
      <c r="I23" s="654"/>
      <c r="J23" s="654" t="s">
        <v>761</v>
      </c>
      <c r="K23" s="654"/>
      <c r="L23" s="654"/>
      <c r="M23" s="644" t="s">
        <v>857</v>
      </c>
      <c r="N23" s="644"/>
    </row>
    <row r="24" spans="1:14" s="5" customFormat="1" ht="40.5" customHeight="1">
      <c r="A24" s="654"/>
      <c r="B24" s="633"/>
      <c r="C24" s="648"/>
      <c r="D24" s="649"/>
      <c r="E24" s="652"/>
      <c r="F24" s="652" t="s">
        <v>757</v>
      </c>
      <c r="G24" s="652" t="s">
        <v>5</v>
      </c>
      <c r="H24" s="652" t="s">
        <v>6</v>
      </c>
      <c r="I24" s="652"/>
      <c r="J24" s="652" t="s">
        <v>22</v>
      </c>
      <c r="K24" s="652" t="s">
        <v>762</v>
      </c>
      <c r="L24" s="654" t="s">
        <v>8</v>
      </c>
      <c r="M24" s="644"/>
      <c r="N24" s="644"/>
    </row>
    <row r="25" spans="1:14" s="5" customFormat="1" ht="58.5" customHeight="1">
      <c r="A25" s="632"/>
      <c r="B25" s="634"/>
      <c r="C25" s="650"/>
      <c r="D25" s="651"/>
      <c r="E25" s="653"/>
      <c r="F25" s="653"/>
      <c r="G25" s="653"/>
      <c r="H25" s="381" t="s">
        <v>9</v>
      </c>
      <c r="I25" s="381" t="s">
        <v>10</v>
      </c>
      <c r="J25" s="653"/>
      <c r="K25" s="632"/>
      <c r="L25" s="632"/>
      <c r="M25" s="382" t="s">
        <v>753</v>
      </c>
      <c r="N25" s="383" t="s">
        <v>754</v>
      </c>
    </row>
    <row r="26" spans="1:14" ht="26.25" customHeight="1">
      <c r="A26" s="15">
        <v>3</v>
      </c>
      <c r="B26" s="35" t="s">
        <v>14</v>
      </c>
      <c r="C26" s="15"/>
      <c r="D26" s="81" t="s">
        <v>97</v>
      </c>
      <c r="E26" s="686">
        <v>200</v>
      </c>
      <c r="F26" s="688">
        <v>0.34</v>
      </c>
      <c r="G26" s="18"/>
      <c r="H26" s="686">
        <v>160</v>
      </c>
      <c r="I26" s="664">
        <v>1</v>
      </c>
      <c r="J26" s="655">
        <v>16.100000000000001</v>
      </c>
      <c r="K26" s="655">
        <v>2.02</v>
      </c>
      <c r="L26" s="684">
        <f t="shared" si="0"/>
        <v>18.12</v>
      </c>
      <c r="M26" s="657">
        <v>0.8</v>
      </c>
      <c r="N26" s="657">
        <f>34.12*M26</f>
        <v>27.295999999999999</v>
      </c>
    </row>
    <row r="27" spans="1:14" ht="26.25" customHeight="1">
      <c r="A27" s="22"/>
      <c r="B27" s="54" t="s">
        <v>768</v>
      </c>
      <c r="C27" s="22"/>
      <c r="D27" s="97" t="s">
        <v>98</v>
      </c>
      <c r="E27" s="687"/>
      <c r="F27" s="689"/>
      <c r="G27" s="24"/>
      <c r="H27" s="687"/>
      <c r="I27" s="690"/>
      <c r="J27" s="656"/>
      <c r="K27" s="656"/>
      <c r="L27" s="685"/>
      <c r="M27" s="672"/>
      <c r="N27" s="672"/>
    </row>
    <row r="28" spans="1:14" ht="26.25" customHeight="1">
      <c r="A28" s="22"/>
      <c r="B28" s="22"/>
      <c r="C28" s="22"/>
      <c r="D28" s="86" t="s">
        <v>99</v>
      </c>
      <c r="E28" s="87">
        <v>165</v>
      </c>
      <c r="F28" s="88">
        <v>1.36</v>
      </c>
      <c r="G28" s="24"/>
      <c r="H28" s="87">
        <v>100</v>
      </c>
      <c r="I28" s="22">
        <v>1</v>
      </c>
      <c r="J28" s="98">
        <v>30.4</v>
      </c>
      <c r="K28" s="98">
        <v>5.08</v>
      </c>
      <c r="L28" s="99">
        <f t="shared" si="0"/>
        <v>35.479999999999997</v>
      </c>
      <c r="M28" s="405">
        <v>0.76</v>
      </c>
      <c r="N28" s="405">
        <f>34.12*M28</f>
        <v>25.931199999999997</v>
      </c>
    </row>
    <row r="29" spans="1:14" ht="26.25" customHeight="1">
      <c r="A29" s="22"/>
      <c r="B29" s="22"/>
      <c r="C29" s="22"/>
      <c r="D29" s="100" t="s">
        <v>100</v>
      </c>
      <c r="E29" s="87">
        <v>52</v>
      </c>
      <c r="F29" s="88">
        <v>0.61</v>
      </c>
      <c r="G29" s="24"/>
      <c r="H29" s="87">
        <v>50</v>
      </c>
      <c r="I29" s="22">
        <v>1</v>
      </c>
      <c r="J29" s="98">
        <v>18.149999999999999</v>
      </c>
      <c r="K29" s="98">
        <v>2.83</v>
      </c>
      <c r="L29" s="99">
        <f t="shared" si="0"/>
        <v>20.979999999999997</v>
      </c>
      <c r="M29" s="405">
        <v>0.56999999999999995</v>
      </c>
      <c r="N29" s="405">
        <f>34.12*M29</f>
        <v>19.448399999999996</v>
      </c>
    </row>
    <row r="30" spans="1:14" ht="26.25" customHeight="1">
      <c r="A30" s="22"/>
      <c r="B30" s="22"/>
      <c r="C30" s="22"/>
      <c r="D30" s="86" t="s">
        <v>101</v>
      </c>
      <c r="E30" s="87">
        <v>205</v>
      </c>
      <c r="F30" s="88">
        <v>1.04</v>
      </c>
      <c r="G30" s="24"/>
      <c r="H30" s="87">
        <v>160</v>
      </c>
      <c r="I30" s="22">
        <v>1</v>
      </c>
      <c r="J30" s="98">
        <v>26.6</v>
      </c>
      <c r="K30" s="98">
        <v>4.12</v>
      </c>
      <c r="L30" s="99">
        <f t="shared" si="0"/>
        <v>30.720000000000002</v>
      </c>
      <c r="M30" s="405">
        <v>0.8</v>
      </c>
      <c r="N30" s="405">
        <f t="shared" ref="N30:N40" si="2">34.12*M30</f>
        <v>27.295999999999999</v>
      </c>
    </row>
    <row r="31" spans="1:14" ht="26.25" customHeight="1">
      <c r="A31" s="22"/>
      <c r="B31" s="22"/>
      <c r="C31" s="22"/>
      <c r="D31" s="101" t="s">
        <v>102</v>
      </c>
      <c r="E31" s="87">
        <v>137</v>
      </c>
      <c r="F31" s="88">
        <v>1.57</v>
      </c>
      <c r="G31" s="24"/>
      <c r="H31" s="87">
        <v>100</v>
      </c>
      <c r="I31" s="22">
        <v>1</v>
      </c>
      <c r="J31" s="98">
        <v>33.549999999999997</v>
      </c>
      <c r="K31" s="98">
        <v>5.71</v>
      </c>
      <c r="L31" s="99">
        <f t="shared" si="0"/>
        <v>39.26</v>
      </c>
      <c r="M31" s="405">
        <v>0.76</v>
      </c>
      <c r="N31" s="405">
        <f t="shared" si="2"/>
        <v>25.931199999999997</v>
      </c>
    </row>
    <row r="32" spans="1:14" ht="26.25" customHeight="1">
      <c r="A32" s="22"/>
      <c r="B32" s="22"/>
      <c r="C32" s="22"/>
      <c r="D32" s="86" t="s">
        <v>103</v>
      </c>
      <c r="E32" s="87">
        <v>71</v>
      </c>
      <c r="F32" s="88">
        <v>0.64</v>
      </c>
      <c r="G32" s="24"/>
      <c r="H32" s="87">
        <v>50</v>
      </c>
      <c r="I32" s="22">
        <v>1</v>
      </c>
      <c r="J32" s="98">
        <v>18.600000000000001</v>
      </c>
      <c r="K32" s="98">
        <v>2.92</v>
      </c>
      <c r="L32" s="99">
        <f t="shared" si="0"/>
        <v>21.520000000000003</v>
      </c>
      <c r="M32" s="405">
        <v>0.56999999999999995</v>
      </c>
      <c r="N32" s="405">
        <f t="shared" si="2"/>
        <v>19.448399999999996</v>
      </c>
    </row>
    <row r="33" spans="1:14" ht="26.25" customHeight="1">
      <c r="A33" s="22"/>
      <c r="B33" s="22"/>
      <c r="C33" s="22"/>
      <c r="D33" s="86" t="s">
        <v>104</v>
      </c>
      <c r="E33" s="87">
        <v>97</v>
      </c>
      <c r="F33" s="88">
        <v>0.66</v>
      </c>
      <c r="G33" s="24"/>
      <c r="H33" s="87">
        <v>50</v>
      </c>
      <c r="I33" s="22">
        <v>1</v>
      </c>
      <c r="J33" s="98">
        <v>18.899999999999999</v>
      </c>
      <c r="K33" s="98">
        <v>2.98</v>
      </c>
      <c r="L33" s="99">
        <f t="shared" si="0"/>
        <v>21.88</v>
      </c>
      <c r="M33" s="405">
        <v>0.56999999999999995</v>
      </c>
      <c r="N33" s="405">
        <f t="shared" si="2"/>
        <v>19.448399999999996</v>
      </c>
    </row>
    <row r="34" spans="1:14" ht="26.25" customHeight="1">
      <c r="A34" s="22"/>
      <c r="B34" s="22"/>
      <c r="C34" s="22"/>
      <c r="D34" s="86" t="s">
        <v>105</v>
      </c>
      <c r="E34" s="87">
        <v>200</v>
      </c>
      <c r="F34" s="88">
        <v>0.68</v>
      </c>
      <c r="G34" s="24"/>
      <c r="H34" s="87">
        <v>160</v>
      </c>
      <c r="I34" s="22">
        <v>1</v>
      </c>
      <c r="J34" s="98">
        <v>21.2</v>
      </c>
      <c r="K34" s="98">
        <v>3.04</v>
      </c>
      <c r="L34" s="99">
        <f t="shared" si="0"/>
        <v>24.24</v>
      </c>
      <c r="M34" s="405">
        <v>0.8</v>
      </c>
      <c r="N34" s="405">
        <f t="shared" si="2"/>
        <v>27.295999999999999</v>
      </c>
    </row>
    <row r="35" spans="1:14" ht="26.25" customHeight="1">
      <c r="A35" s="22"/>
      <c r="B35" s="22"/>
      <c r="C35" s="22"/>
      <c r="D35" s="86" t="s">
        <v>106</v>
      </c>
      <c r="E35" s="87">
        <v>70</v>
      </c>
      <c r="F35" s="88">
        <v>0.85</v>
      </c>
      <c r="G35" s="24"/>
      <c r="H35" s="87">
        <v>50</v>
      </c>
      <c r="I35" s="22">
        <v>1</v>
      </c>
      <c r="J35" s="98">
        <v>21.75</v>
      </c>
      <c r="K35" s="98">
        <v>3.55</v>
      </c>
      <c r="L35" s="99">
        <f t="shared" si="0"/>
        <v>25.3</v>
      </c>
      <c r="M35" s="405">
        <v>0.56999999999999995</v>
      </c>
      <c r="N35" s="405">
        <f t="shared" si="2"/>
        <v>19.448399999999996</v>
      </c>
    </row>
    <row r="36" spans="1:14" ht="26.25" customHeight="1">
      <c r="A36" s="22"/>
      <c r="B36" s="22"/>
      <c r="C36" s="22"/>
      <c r="D36" s="86" t="s">
        <v>107</v>
      </c>
      <c r="E36" s="87">
        <v>170</v>
      </c>
      <c r="F36" s="88">
        <v>0.76</v>
      </c>
      <c r="G36" s="24"/>
      <c r="H36" s="87">
        <v>100</v>
      </c>
      <c r="I36" s="22">
        <v>1</v>
      </c>
      <c r="J36" s="98">
        <v>21.4</v>
      </c>
      <c r="K36" s="98">
        <v>3.28</v>
      </c>
      <c r="L36" s="99">
        <f t="shared" si="0"/>
        <v>24.68</v>
      </c>
      <c r="M36" s="405">
        <v>0.76</v>
      </c>
      <c r="N36" s="405">
        <f t="shared" si="2"/>
        <v>25.931199999999997</v>
      </c>
    </row>
    <row r="37" spans="1:14" ht="26.25" customHeight="1">
      <c r="A37" s="22"/>
      <c r="B37" s="22"/>
      <c r="C37" s="22"/>
      <c r="D37" s="86" t="s">
        <v>108</v>
      </c>
      <c r="E37" s="87">
        <v>170</v>
      </c>
      <c r="F37" s="88">
        <v>0.71</v>
      </c>
      <c r="G37" s="24"/>
      <c r="H37" s="87">
        <v>100</v>
      </c>
      <c r="I37" s="22">
        <v>1</v>
      </c>
      <c r="J37" s="98">
        <v>20.65</v>
      </c>
      <c r="K37" s="98">
        <v>3.13</v>
      </c>
      <c r="L37" s="99">
        <f t="shared" si="0"/>
        <v>23.779999999999998</v>
      </c>
      <c r="M37" s="405">
        <v>0.76</v>
      </c>
      <c r="N37" s="405">
        <f t="shared" si="2"/>
        <v>25.931199999999997</v>
      </c>
    </row>
    <row r="38" spans="1:14" ht="26.25" customHeight="1">
      <c r="A38" s="22"/>
      <c r="B38" s="22"/>
      <c r="C38" s="22"/>
      <c r="D38" s="86" t="s">
        <v>109</v>
      </c>
      <c r="E38" s="87">
        <v>150</v>
      </c>
      <c r="F38" s="88">
        <v>0.66</v>
      </c>
      <c r="G38" s="24"/>
      <c r="H38" s="87">
        <v>100</v>
      </c>
      <c r="I38" s="22">
        <v>1</v>
      </c>
      <c r="J38" s="98">
        <v>19.899999999999999</v>
      </c>
      <c r="K38" s="98">
        <v>2.98</v>
      </c>
      <c r="L38" s="99">
        <f t="shared" si="0"/>
        <v>22.88</v>
      </c>
      <c r="M38" s="405">
        <v>0.76</v>
      </c>
      <c r="N38" s="405">
        <f t="shared" si="2"/>
        <v>25.931199999999997</v>
      </c>
    </row>
    <row r="39" spans="1:14" ht="26.25" customHeight="1">
      <c r="A39" s="22"/>
      <c r="B39" s="22"/>
      <c r="C39" s="22"/>
      <c r="D39" s="86" t="s">
        <v>110</v>
      </c>
      <c r="E39" s="87">
        <v>160</v>
      </c>
      <c r="F39" s="88">
        <v>1.04</v>
      </c>
      <c r="G39" s="24"/>
      <c r="H39" s="87">
        <v>100</v>
      </c>
      <c r="I39" s="22">
        <v>1</v>
      </c>
      <c r="J39" s="98">
        <v>25.6</v>
      </c>
      <c r="K39" s="98">
        <v>4.12</v>
      </c>
      <c r="L39" s="99">
        <f t="shared" si="0"/>
        <v>29.720000000000002</v>
      </c>
      <c r="M39" s="405">
        <v>0.76</v>
      </c>
      <c r="N39" s="405">
        <f t="shared" si="2"/>
        <v>25.931199999999997</v>
      </c>
    </row>
    <row r="40" spans="1:14" ht="26.25" customHeight="1">
      <c r="A40" s="29"/>
      <c r="B40" s="29"/>
      <c r="C40" s="29"/>
      <c r="D40" s="91" t="s">
        <v>111</v>
      </c>
      <c r="E40" s="92">
        <v>128</v>
      </c>
      <c r="F40" s="93">
        <v>1.25</v>
      </c>
      <c r="G40" s="31"/>
      <c r="H40" s="92">
        <v>100</v>
      </c>
      <c r="I40" s="29">
        <v>1</v>
      </c>
      <c r="J40" s="102">
        <v>28.75</v>
      </c>
      <c r="K40" s="102">
        <v>4.75</v>
      </c>
      <c r="L40" s="103">
        <f t="shared" si="0"/>
        <v>33.5</v>
      </c>
      <c r="M40" s="406">
        <v>0.76</v>
      </c>
      <c r="N40" s="406">
        <f t="shared" si="2"/>
        <v>25.931199999999997</v>
      </c>
    </row>
    <row r="41" spans="1:14" ht="29.25" customHeight="1">
      <c r="A41" s="645" t="s">
        <v>82</v>
      </c>
      <c r="B41" s="645"/>
      <c r="C41" s="645"/>
      <c r="D41" s="645"/>
      <c r="E41" s="645"/>
      <c r="F41" s="645"/>
      <c r="G41" s="645"/>
      <c r="H41" s="645"/>
      <c r="I41" s="645"/>
      <c r="J41" s="645"/>
      <c r="K41" s="645"/>
      <c r="L41" s="645"/>
    </row>
    <row r="42" spans="1:14" s="5" customFormat="1" ht="27.75" customHeight="1">
      <c r="A42" s="654" t="s">
        <v>1</v>
      </c>
      <c r="B42" s="632" t="s">
        <v>755</v>
      </c>
      <c r="C42" s="646" t="s">
        <v>21</v>
      </c>
      <c r="D42" s="647"/>
      <c r="E42" s="652" t="s">
        <v>756</v>
      </c>
      <c r="F42" s="654" t="s">
        <v>3</v>
      </c>
      <c r="G42" s="654"/>
      <c r="H42" s="654"/>
      <c r="I42" s="654"/>
      <c r="J42" s="654" t="s">
        <v>761</v>
      </c>
      <c r="K42" s="654"/>
      <c r="L42" s="654"/>
      <c r="M42" s="644" t="s">
        <v>857</v>
      </c>
      <c r="N42" s="644"/>
    </row>
    <row r="43" spans="1:14" s="5" customFormat="1" ht="40.5" customHeight="1">
      <c r="A43" s="654"/>
      <c r="B43" s="633"/>
      <c r="C43" s="648"/>
      <c r="D43" s="649"/>
      <c r="E43" s="652"/>
      <c r="F43" s="652" t="s">
        <v>757</v>
      </c>
      <c r="G43" s="652" t="s">
        <v>5</v>
      </c>
      <c r="H43" s="652" t="s">
        <v>6</v>
      </c>
      <c r="I43" s="652"/>
      <c r="J43" s="652" t="s">
        <v>22</v>
      </c>
      <c r="K43" s="652" t="s">
        <v>762</v>
      </c>
      <c r="L43" s="654" t="s">
        <v>8</v>
      </c>
      <c r="M43" s="644"/>
      <c r="N43" s="644"/>
    </row>
    <row r="44" spans="1:14" s="5" customFormat="1" ht="58.5" customHeight="1">
      <c r="A44" s="632"/>
      <c r="B44" s="634"/>
      <c r="C44" s="650"/>
      <c r="D44" s="651"/>
      <c r="E44" s="653"/>
      <c r="F44" s="653"/>
      <c r="G44" s="653"/>
      <c r="H44" s="381" t="s">
        <v>9</v>
      </c>
      <c r="I44" s="381" t="s">
        <v>10</v>
      </c>
      <c r="J44" s="653"/>
      <c r="K44" s="632"/>
      <c r="L44" s="632"/>
      <c r="M44" s="382" t="s">
        <v>753</v>
      </c>
      <c r="N44" s="383" t="s">
        <v>754</v>
      </c>
    </row>
    <row r="45" spans="1:14" ht="26.25" customHeight="1">
      <c r="A45" s="15">
        <v>3</v>
      </c>
      <c r="B45" s="35" t="s">
        <v>14</v>
      </c>
      <c r="C45" s="15"/>
      <c r="D45" s="81" t="s">
        <v>112</v>
      </c>
      <c r="E45" s="82">
        <v>30</v>
      </c>
      <c r="F45" s="83">
        <v>0.09</v>
      </c>
      <c r="G45" s="18"/>
      <c r="H45" s="82">
        <v>50</v>
      </c>
      <c r="I45" s="15">
        <v>1</v>
      </c>
      <c r="J45" s="123">
        <v>10.35</v>
      </c>
      <c r="K45" s="123">
        <v>1.27</v>
      </c>
      <c r="L45" s="124">
        <f t="shared" si="0"/>
        <v>11.62</v>
      </c>
      <c r="M45" s="404">
        <v>0.56999999999999995</v>
      </c>
      <c r="N45" s="404">
        <f t="shared" ref="N45:N52" si="3">34.12*M45</f>
        <v>19.448399999999996</v>
      </c>
    </row>
    <row r="46" spans="1:14" ht="26.25" customHeight="1">
      <c r="A46" s="22"/>
      <c r="B46" s="54" t="s">
        <v>768</v>
      </c>
      <c r="C46" s="22"/>
      <c r="D46" s="86" t="s">
        <v>113</v>
      </c>
      <c r="E46" s="87">
        <v>30</v>
      </c>
      <c r="F46" s="88">
        <v>0.66</v>
      </c>
      <c r="G46" s="24"/>
      <c r="H46" s="87">
        <v>50</v>
      </c>
      <c r="I46" s="22">
        <v>1</v>
      </c>
      <c r="J46" s="98">
        <v>18.899999999999999</v>
      </c>
      <c r="K46" s="98">
        <v>2.98</v>
      </c>
      <c r="L46" s="99">
        <f t="shared" si="0"/>
        <v>21.88</v>
      </c>
      <c r="M46" s="405">
        <v>0.56999999999999995</v>
      </c>
      <c r="N46" s="405">
        <f t="shared" si="3"/>
        <v>19.448399999999996</v>
      </c>
    </row>
    <row r="47" spans="1:14" ht="26.25" customHeight="1">
      <c r="A47" s="22"/>
      <c r="B47" s="22"/>
      <c r="C47" s="22"/>
      <c r="D47" s="86" t="s">
        <v>114</v>
      </c>
      <c r="E47" s="87">
        <v>25</v>
      </c>
      <c r="F47" s="88">
        <v>0.98</v>
      </c>
      <c r="G47" s="24"/>
      <c r="H47" s="87">
        <v>50</v>
      </c>
      <c r="I47" s="22">
        <v>1</v>
      </c>
      <c r="J47" s="98">
        <v>23.7</v>
      </c>
      <c r="K47" s="98">
        <v>3.94</v>
      </c>
      <c r="L47" s="99">
        <f t="shared" si="0"/>
        <v>27.64</v>
      </c>
      <c r="M47" s="405">
        <v>0.56999999999999995</v>
      </c>
      <c r="N47" s="405">
        <f t="shared" si="3"/>
        <v>19.448399999999996</v>
      </c>
    </row>
    <row r="48" spans="1:14" ht="26.25" customHeight="1">
      <c r="A48" s="22"/>
      <c r="B48" s="22"/>
      <c r="C48" s="22"/>
      <c r="D48" s="86" t="s">
        <v>115</v>
      </c>
      <c r="E48" s="87">
        <v>82</v>
      </c>
      <c r="F48" s="88">
        <v>0.85</v>
      </c>
      <c r="G48" s="24"/>
      <c r="H48" s="87">
        <v>50</v>
      </c>
      <c r="I48" s="22">
        <v>1</v>
      </c>
      <c r="J48" s="98">
        <v>21.75</v>
      </c>
      <c r="K48" s="98">
        <v>3.55</v>
      </c>
      <c r="L48" s="99">
        <f t="shared" si="0"/>
        <v>25.3</v>
      </c>
      <c r="M48" s="405">
        <v>0.56999999999999995</v>
      </c>
      <c r="N48" s="405">
        <f t="shared" si="3"/>
        <v>19.448399999999996</v>
      </c>
    </row>
    <row r="49" spans="1:14" ht="26.25" customHeight="1">
      <c r="A49" s="22"/>
      <c r="B49" s="22"/>
      <c r="C49" s="22"/>
      <c r="D49" s="86" t="s">
        <v>116</v>
      </c>
      <c r="E49" s="87">
        <v>120</v>
      </c>
      <c r="F49" s="88">
        <v>2</v>
      </c>
      <c r="G49" s="24"/>
      <c r="H49" s="87">
        <v>100</v>
      </c>
      <c r="I49" s="22">
        <v>1</v>
      </c>
      <c r="J49" s="98">
        <v>40</v>
      </c>
      <c r="K49" s="98">
        <v>7</v>
      </c>
      <c r="L49" s="99">
        <f t="shared" si="0"/>
        <v>47</v>
      </c>
      <c r="M49" s="405">
        <v>0.76</v>
      </c>
      <c r="N49" s="405">
        <f t="shared" si="3"/>
        <v>25.931199999999997</v>
      </c>
    </row>
    <row r="50" spans="1:14" ht="26.25" customHeight="1">
      <c r="A50" s="22"/>
      <c r="B50" s="22"/>
      <c r="C50" s="22"/>
      <c r="D50" s="86" t="s">
        <v>117</v>
      </c>
      <c r="E50" s="87">
        <v>120</v>
      </c>
      <c r="F50" s="88">
        <v>1.1399999999999999</v>
      </c>
      <c r="G50" s="24"/>
      <c r="H50" s="87">
        <v>100</v>
      </c>
      <c r="I50" s="22">
        <v>1</v>
      </c>
      <c r="J50" s="98">
        <v>27.1</v>
      </c>
      <c r="K50" s="98">
        <v>4.42</v>
      </c>
      <c r="L50" s="99">
        <f t="shared" si="0"/>
        <v>31.520000000000003</v>
      </c>
      <c r="M50" s="405">
        <v>0.76</v>
      </c>
      <c r="N50" s="405">
        <f t="shared" si="3"/>
        <v>25.931199999999997</v>
      </c>
    </row>
    <row r="51" spans="1:14" ht="26.25" customHeight="1">
      <c r="A51" s="22"/>
      <c r="B51" s="22"/>
      <c r="C51" s="22"/>
      <c r="D51" s="86" t="s">
        <v>91</v>
      </c>
      <c r="E51" s="87">
        <v>35</v>
      </c>
      <c r="F51" s="88">
        <v>0.76</v>
      </c>
      <c r="G51" s="24"/>
      <c r="H51" s="87">
        <v>50</v>
      </c>
      <c r="I51" s="22">
        <v>1</v>
      </c>
      <c r="J51" s="98">
        <v>20.399999999999999</v>
      </c>
      <c r="K51" s="98">
        <v>3.28</v>
      </c>
      <c r="L51" s="99">
        <f t="shared" si="0"/>
        <v>23.68</v>
      </c>
      <c r="M51" s="405">
        <v>0.56999999999999995</v>
      </c>
      <c r="N51" s="405">
        <f t="shared" si="3"/>
        <v>19.448399999999996</v>
      </c>
    </row>
    <row r="52" spans="1:14" ht="26.25" customHeight="1">
      <c r="A52" s="29"/>
      <c r="B52" s="29"/>
      <c r="C52" s="29"/>
      <c r="D52" s="91" t="s">
        <v>118</v>
      </c>
      <c r="E52" s="92">
        <v>116</v>
      </c>
      <c r="F52" s="93">
        <v>0.3</v>
      </c>
      <c r="G52" s="31"/>
      <c r="H52" s="92">
        <v>100</v>
      </c>
      <c r="I52" s="29">
        <v>1</v>
      </c>
      <c r="J52" s="102">
        <v>14.5</v>
      </c>
      <c r="K52" s="102">
        <v>1.9</v>
      </c>
      <c r="L52" s="103">
        <f t="shared" si="0"/>
        <v>16.399999999999999</v>
      </c>
      <c r="M52" s="406">
        <v>0.76</v>
      </c>
      <c r="N52" s="406">
        <f t="shared" si="3"/>
        <v>25.931199999999997</v>
      </c>
    </row>
    <row r="53" spans="1:14" s="71" customFormat="1" ht="33" customHeight="1">
      <c r="A53" s="64"/>
      <c r="B53" s="64" t="s">
        <v>759</v>
      </c>
      <c r="C53" s="64"/>
      <c r="D53" s="65" t="s">
        <v>769</v>
      </c>
      <c r="E53" s="115">
        <f t="shared" ref="E53:F53" si="4">SUM(E5:E52)</f>
        <v>3723</v>
      </c>
      <c r="F53" s="116">
        <f t="shared" si="4"/>
        <v>28.830000000000005</v>
      </c>
      <c r="G53" s="68"/>
      <c r="H53" s="115">
        <f t="shared" ref="H53:N53" si="5">SUM(H5:H52)</f>
        <v>2930</v>
      </c>
      <c r="I53" s="66">
        <f t="shared" si="5"/>
        <v>37</v>
      </c>
      <c r="J53" s="117">
        <f t="shared" si="5"/>
        <v>786.45</v>
      </c>
      <c r="K53" s="117">
        <f t="shared" si="5"/>
        <v>123.49000000000001</v>
      </c>
      <c r="L53" s="117">
        <f t="shared" si="5"/>
        <v>909.93999999999983</v>
      </c>
      <c r="M53" s="407">
        <f t="shared" si="5"/>
        <v>25.630000000000017</v>
      </c>
      <c r="N53" s="407">
        <f t="shared" si="5"/>
        <v>874.49559999999974</v>
      </c>
    </row>
    <row r="54" spans="1:14">
      <c r="D54" s="2"/>
      <c r="E54" s="2"/>
      <c r="F54" s="2"/>
      <c r="G54" s="2"/>
      <c r="H54" s="2"/>
      <c r="I54" s="2"/>
      <c r="J54" s="2"/>
    </row>
    <row r="55" spans="1:14">
      <c r="D55" s="2"/>
      <c r="E55" s="2"/>
      <c r="F55" s="2"/>
      <c r="G55" s="2"/>
      <c r="H55" s="2"/>
      <c r="I55" s="2"/>
      <c r="J55" s="2"/>
    </row>
    <row r="56" spans="1:14">
      <c r="D56" s="2"/>
      <c r="E56" s="2"/>
      <c r="F56" s="2"/>
      <c r="G56" s="2"/>
      <c r="H56" s="2"/>
      <c r="I56" s="2"/>
      <c r="J56" s="2"/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 ht="37.5" customHeight="1">
      <c r="A65" s="645" t="s">
        <v>119</v>
      </c>
      <c r="B65" s="645"/>
      <c r="C65" s="645"/>
      <c r="D65" s="645"/>
      <c r="E65" s="645"/>
      <c r="F65" s="645"/>
      <c r="G65" s="645"/>
      <c r="H65" s="645"/>
      <c r="I65" s="645"/>
      <c r="J65" s="645"/>
      <c r="K65" s="645"/>
      <c r="L65" s="645"/>
    </row>
    <row r="66" spans="1:14" s="5" customFormat="1" ht="27.75" customHeight="1">
      <c r="A66" s="673" t="s">
        <v>1</v>
      </c>
      <c r="B66" s="673" t="s">
        <v>755</v>
      </c>
      <c r="C66" s="676" t="s">
        <v>21</v>
      </c>
      <c r="D66" s="677"/>
      <c r="E66" s="666" t="s">
        <v>756</v>
      </c>
      <c r="F66" s="669" t="s">
        <v>3</v>
      </c>
      <c r="G66" s="670"/>
      <c r="H66" s="670"/>
      <c r="I66" s="671"/>
      <c r="J66" s="669" t="s">
        <v>761</v>
      </c>
      <c r="K66" s="670"/>
      <c r="L66" s="671"/>
      <c r="M66" s="644" t="s">
        <v>857</v>
      </c>
      <c r="N66" s="644"/>
    </row>
    <row r="67" spans="1:14" s="5" customFormat="1" ht="40.5" customHeight="1">
      <c r="A67" s="674"/>
      <c r="B67" s="674"/>
      <c r="C67" s="678"/>
      <c r="D67" s="679"/>
      <c r="E67" s="667"/>
      <c r="F67" s="666" t="s">
        <v>757</v>
      </c>
      <c r="G67" s="666" t="s">
        <v>5</v>
      </c>
      <c r="H67" s="682" t="s">
        <v>6</v>
      </c>
      <c r="I67" s="683"/>
      <c r="J67" s="666" t="s">
        <v>22</v>
      </c>
      <c r="K67" s="666" t="s">
        <v>762</v>
      </c>
      <c r="L67" s="673" t="s">
        <v>8</v>
      </c>
      <c r="M67" s="644"/>
      <c r="N67" s="644"/>
    </row>
    <row r="68" spans="1:14" s="5" customFormat="1" ht="58.5" customHeight="1">
      <c r="A68" s="675"/>
      <c r="B68" s="675"/>
      <c r="C68" s="680"/>
      <c r="D68" s="681"/>
      <c r="E68" s="668"/>
      <c r="F68" s="668"/>
      <c r="G68" s="668"/>
      <c r="H68" s="63" t="s">
        <v>9</v>
      </c>
      <c r="I68" s="63" t="s">
        <v>10</v>
      </c>
      <c r="J68" s="668"/>
      <c r="K68" s="668"/>
      <c r="L68" s="675"/>
      <c r="M68" s="382" t="s">
        <v>753</v>
      </c>
      <c r="N68" s="383" t="s">
        <v>754</v>
      </c>
    </row>
    <row r="69" spans="1:14" s="33" customFormat="1" ht="24.75" customHeight="1">
      <c r="A69" s="15">
        <v>4</v>
      </c>
      <c r="B69" s="35" t="s">
        <v>14</v>
      </c>
      <c r="C69" s="34">
        <v>1</v>
      </c>
      <c r="D69" s="106" t="s">
        <v>120</v>
      </c>
      <c r="E69" s="659">
        <v>474</v>
      </c>
      <c r="F69" s="661">
        <v>2.98</v>
      </c>
      <c r="G69" s="107"/>
      <c r="H69" s="663" t="s">
        <v>121</v>
      </c>
      <c r="I69" s="664">
        <v>1</v>
      </c>
      <c r="J69" s="655">
        <v>41</v>
      </c>
      <c r="K69" s="655">
        <v>2.5</v>
      </c>
      <c r="L69" s="655">
        <f>K69+J69</f>
        <v>43.5</v>
      </c>
      <c r="M69" s="657">
        <v>1.52</v>
      </c>
      <c r="N69" s="657">
        <f>M69*34.12</f>
        <v>51.862399999999994</v>
      </c>
    </row>
    <row r="70" spans="1:14" s="33" customFormat="1" ht="24.75" customHeight="1">
      <c r="A70" s="22"/>
      <c r="B70" s="54" t="s">
        <v>770</v>
      </c>
      <c r="C70" s="20">
        <v>2</v>
      </c>
      <c r="D70" s="108" t="s">
        <v>122</v>
      </c>
      <c r="E70" s="660"/>
      <c r="F70" s="662"/>
      <c r="G70" s="109"/>
      <c r="H70" s="660"/>
      <c r="I70" s="665"/>
      <c r="J70" s="656"/>
      <c r="K70" s="656"/>
      <c r="L70" s="656"/>
      <c r="M70" s="658"/>
      <c r="N70" s="658"/>
    </row>
    <row r="71" spans="1:14" s="33" customFormat="1" ht="24.75" customHeight="1">
      <c r="A71" s="20"/>
      <c r="B71" s="20"/>
      <c r="C71" s="20">
        <v>3</v>
      </c>
      <c r="D71" s="108" t="s">
        <v>123</v>
      </c>
      <c r="E71" s="660"/>
      <c r="F71" s="662"/>
      <c r="G71" s="109"/>
      <c r="H71" s="660"/>
      <c r="I71" s="665"/>
      <c r="J71" s="656"/>
      <c r="K71" s="656"/>
      <c r="L71" s="656"/>
      <c r="M71" s="658"/>
      <c r="N71" s="658"/>
    </row>
    <row r="72" spans="1:14" ht="24.75" customHeight="1">
      <c r="A72" s="22"/>
      <c r="B72" s="22"/>
      <c r="C72" s="22">
        <v>4</v>
      </c>
      <c r="D72" s="86" t="s">
        <v>124</v>
      </c>
      <c r="E72" s="87">
        <v>170</v>
      </c>
      <c r="F72" s="88">
        <v>0.66</v>
      </c>
      <c r="G72" s="24"/>
      <c r="H72" s="87">
        <v>100</v>
      </c>
      <c r="I72" s="22">
        <v>1</v>
      </c>
      <c r="J72" s="98">
        <v>19.899999999999999</v>
      </c>
      <c r="K72" s="98">
        <v>2.98</v>
      </c>
      <c r="L72" s="99">
        <f>K72+J72</f>
        <v>22.88</v>
      </c>
      <c r="M72" s="408">
        <v>0.76</v>
      </c>
      <c r="N72" s="408">
        <f>M72*34.12</f>
        <v>25.931199999999997</v>
      </c>
    </row>
    <row r="73" spans="1:14" ht="24.75" customHeight="1">
      <c r="A73" s="22"/>
      <c r="B73" s="22"/>
      <c r="C73" s="22">
        <v>5</v>
      </c>
      <c r="D73" s="86" t="s">
        <v>125</v>
      </c>
      <c r="E73" s="87">
        <v>50</v>
      </c>
      <c r="F73" s="88">
        <v>0.44</v>
      </c>
      <c r="G73" s="24"/>
      <c r="H73" s="87">
        <v>50</v>
      </c>
      <c r="I73" s="22">
        <v>1</v>
      </c>
      <c r="J73" s="98">
        <v>15.6</v>
      </c>
      <c r="K73" s="98">
        <v>2.3199999999999998</v>
      </c>
      <c r="L73" s="99">
        <f t="shared" ref="L73:L81" si="6">K73+J73</f>
        <v>17.919999999999998</v>
      </c>
      <c r="M73" s="408">
        <v>1.76</v>
      </c>
      <c r="N73" s="408">
        <f t="shared" ref="N73:N81" si="7">M73*34.12</f>
        <v>60.051199999999994</v>
      </c>
    </row>
    <row r="74" spans="1:14" ht="24.75" customHeight="1">
      <c r="A74" s="22"/>
      <c r="B74" s="22"/>
      <c r="C74" s="22">
        <v>6</v>
      </c>
      <c r="D74" s="86" t="s">
        <v>126</v>
      </c>
      <c r="E74" s="87">
        <v>295</v>
      </c>
      <c r="F74" s="88">
        <v>1.93</v>
      </c>
      <c r="G74" s="24"/>
      <c r="H74" s="87">
        <v>200</v>
      </c>
      <c r="I74" s="22">
        <v>1</v>
      </c>
      <c r="J74" s="98">
        <v>40.450000000000003</v>
      </c>
      <c r="K74" s="98">
        <v>6.79</v>
      </c>
      <c r="L74" s="99">
        <f t="shared" si="6"/>
        <v>47.24</v>
      </c>
      <c r="M74" s="408">
        <v>2.76</v>
      </c>
      <c r="N74" s="408">
        <f t="shared" si="7"/>
        <v>94.171199999999985</v>
      </c>
    </row>
    <row r="75" spans="1:14" ht="38.25" customHeight="1">
      <c r="A75" s="22"/>
      <c r="B75" s="22"/>
      <c r="C75" s="22">
        <v>7</v>
      </c>
      <c r="D75" s="86" t="s">
        <v>127</v>
      </c>
      <c r="E75" s="87">
        <v>243</v>
      </c>
      <c r="F75" s="88">
        <v>1.34</v>
      </c>
      <c r="G75" s="24"/>
      <c r="H75" s="87">
        <v>160</v>
      </c>
      <c r="I75" s="22">
        <v>1</v>
      </c>
      <c r="J75" s="98">
        <v>31.1</v>
      </c>
      <c r="K75" s="98">
        <v>5.0199999999999996</v>
      </c>
      <c r="L75" s="99">
        <f t="shared" si="6"/>
        <v>36.120000000000005</v>
      </c>
      <c r="M75" s="408">
        <v>3.76</v>
      </c>
      <c r="N75" s="408">
        <f t="shared" si="7"/>
        <v>128.29119999999998</v>
      </c>
    </row>
    <row r="76" spans="1:14" ht="24.75" customHeight="1">
      <c r="A76" s="22"/>
      <c r="B76" s="22"/>
      <c r="C76" s="22">
        <v>8</v>
      </c>
      <c r="D76" s="86" t="s">
        <v>128</v>
      </c>
      <c r="E76" s="87">
        <v>125</v>
      </c>
      <c r="F76" s="88">
        <v>0.8</v>
      </c>
      <c r="G76" s="24"/>
      <c r="H76" s="87">
        <v>100</v>
      </c>
      <c r="I76" s="22">
        <v>1</v>
      </c>
      <c r="J76" s="98">
        <v>22</v>
      </c>
      <c r="K76" s="98">
        <v>3.4</v>
      </c>
      <c r="L76" s="99">
        <f t="shared" si="6"/>
        <v>25.4</v>
      </c>
      <c r="M76" s="408">
        <v>4.76</v>
      </c>
      <c r="N76" s="408">
        <f t="shared" si="7"/>
        <v>162.41119999999998</v>
      </c>
    </row>
    <row r="77" spans="1:14" ht="24.75" customHeight="1">
      <c r="A77" s="22"/>
      <c r="B77" s="22"/>
      <c r="C77" s="22">
        <v>9</v>
      </c>
      <c r="D77" s="86" t="s">
        <v>129</v>
      </c>
      <c r="E77" s="87">
        <v>140</v>
      </c>
      <c r="F77" s="88">
        <v>1.2</v>
      </c>
      <c r="G77" s="24"/>
      <c r="H77" s="87">
        <v>100</v>
      </c>
      <c r="I77" s="22">
        <v>1</v>
      </c>
      <c r="J77" s="98">
        <v>28</v>
      </c>
      <c r="K77" s="98">
        <v>4.5999999999999996</v>
      </c>
      <c r="L77" s="99">
        <f t="shared" si="6"/>
        <v>32.6</v>
      </c>
      <c r="M77" s="408">
        <v>5.76</v>
      </c>
      <c r="N77" s="408">
        <f t="shared" si="7"/>
        <v>196.53119999999998</v>
      </c>
    </row>
    <row r="78" spans="1:14" ht="24.75" customHeight="1">
      <c r="A78" s="22"/>
      <c r="B78" s="22"/>
      <c r="C78" s="22">
        <v>10</v>
      </c>
      <c r="D78" s="86" t="s">
        <v>130</v>
      </c>
      <c r="E78" s="87">
        <v>240</v>
      </c>
      <c r="F78" s="88">
        <v>2</v>
      </c>
      <c r="G78" s="24"/>
      <c r="H78" s="87">
        <v>160</v>
      </c>
      <c r="I78" s="22">
        <v>1</v>
      </c>
      <c r="J78" s="98">
        <v>41</v>
      </c>
      <c r="K78" s="98">
        <v>7</v>
      </c>
      <c r="L78" s="99">
        <f t="shared" si="6"/>
        <v>48</v>
      </c>
      <c r="M78" s="408">
        <v>6.76</v>
      </c>
      <c r="N78" s="408">
        <f t="shared" si="7"/>
        <v>230.65119999999999</v>
      </c>
    </row>
    <row r="79" spans="1:14" ht="24.75" customHeight="1">
      <c r="A79" s="22"/>
      <c r="B79" s="22"/>
      <c r="C79" s="22">
        <v>11</v>
      </c>
      <c r="D79" s="86" t="s">
        <v>131</v>
      </c>
      <c r="E79" s="87">
        <v>278</v>
      </c>
      <c r="F79" s="88">
        <v>1</v>
      </c>
      <c r="G79" s="24"/>
      <c r="H79" s="87">
        <v>200</v>
      </c>
      <c r="I79" s="22">
        <v>1</v>
      </c>
      <c r="J79" s="98">
        <v>26.5</v>
      </c>
      <c r="K79" s="98">
        <v>4</v>
      </c>
      <c r="L79" s="99">
        <f t="shared" si="6"/>
        <v>30.5</v>
      </c>
      <c r="M79" s="408">
        <v>7.76</v>
      </c>
      <c r="N79" s="408">
        <f t="shared" si="7"/>
        <v>264.77119999999996</v>
      </c>
    </row>
    <row r="80" spans="1:14" ht="24.75" customHeight="1">
      <c r="A80" s="22"/>
      <c r="B80" s="22"/>
      <c r="C80" s="22">
        <v>12</v>
      </c>
      <c r="D80" s="86" t="s">
        <v>132</v>
      </c>
      <c r="E80" s="87">
        <v>206</v>
      </c>
      <c r="F80" s="88">
        <v>1</v>
      </c>
      <c r="G80" s="24"/>
      <c r="H80" s="87">
        <v>160</v>
      </c>
      <c r="I80" s="22">
        <v>1</v>
      </c>
      <c r="J80" s="98">
        <v>26</v>
      </c>
      <c r="K80" s="98">
        <v>4</v>
      </c>
      <c r="L80" s="99">
        <f t="shared" si="6"/>
        <v>30</v>
      </c>
      <c r="M80" s="408">
        <v>8.76</v>
      </c>
      <c r="N80" s="408">
        <f t="shared" si="7"/>
        <v>298.89119999999997</v>
      </c>
    </row>
    <row r="81" spans="1:14" ht="24.75" customHeight="1">
      <c r="A81" s="29"/>
      <c r="B81" s="29"/>
      <c r="C81" s="29">
        <v>13</v>
      </c>
      <c r="D81" s="91" t="s">
        <v>133</v>
      </c>
      <c r="E81" s="92">
        <v>154</v>
      </c>
      <c r="F81" s="93">
        <v>0.66</v>
      </c>
      <c r="G81" s="31"/>
      <c r="H81" s="92">
        <v>100</v>
      </c>
      <c r="I81" s="29">
        <v>1</v>
      </c>
      <c r="J81" s="102">
        <v>19.899999999999999</v>
      </c>
      <c r="K81" s="102">
        <v>2.98</v>
      </c>
      <c r="L81" s="103">
        <f t="shared" si="6"/>
        <v>22.88</v>
      </c>
      <c r="M81" s="409">
        <v>9.76</v>
      </c>
      <c r="N81" s="409">
        <f t="shared" si="7"/>
        <v>333.01119999999997</v>
      </c>
    </row>
    <row r="82" spans="1:14" s="71" customFormat="1" ht="32.25" customHeight="1">
      <c r="A82" s="64"/>
      <c r="B82" s="64" t="s">
        <v>759</v>
      </c>
      <c r="C82" s="64"/>
      <c r="D82" s="65" t="s">
        <v>771</v>
      </c>
      <c r="E82" s="115">
        <f>SUM(E69:E81)</f>
        <v>2375</v>
      </c>
      <c r="F82" s="116">
        <f>SUM(F69:F81)</f>
        <v>14.01</v>
      </c>
      <c r="G82" s="68"/>
      <c r="H82" s="115">
        <v>1650</v>
      </c>
      <c r="I82" s="66">
        <f>SUM(I69:I81)</f>
        <v>11</v>
      </c>
      <c r="J82" s="117">
        <f>SUM(J69:J81)</f>
        <v>311.45</v>
      </c>
      <c r="K82" s="117">
        <f>SUM(K69:K81)</f>
        <v>45.589999999999996</v>
      </c>
      <c r="L82" s="117">
        <f>SUM(L69:L81)</f>
        <v>357.03999999999996</v>
      </c>
      <c r="M82" s="410">
        <f>SUM(M69:M81)</f>
        <v>54.11999999999999</v>
      </c>
      <c r="N82" s="410">
        <f t="shared" ref="N82" si="8">SUM(N69:N81)</f>
        <v>1846.5744</v>
      </c>
    </row>
    <row r="83" spans="1:14" s="122" customFormat="1" ht="32.25" customHeight="1">
      <c r="A83" s="64"/>
      <c r="B83" s="64" t="s">
        <v>759</v>
      </c>
      <c r="C83" s="64"/>
      <c r="D83" s="65" t="s">
        <v>36</v>
      </c>
      <c r="E83" s="1">
        <f>E82+E53</f>
        <v>6098</v>
      </c>
      <c r="F83" s="119">
        <f t="shared" ref="F83:L83" si="9">F82+F53</f>
        <v>42.84</v>
      </c>
      <c r="G83" s="1"/>
      <c r="H83" s="1">
        <f t="shared" si="9"/>
        <v>4580</v>
      </c>
      <c r="I83" s="1">
        <f t="shared" si="9"/>
        <v>48</v>
      </c>
      <c r="J83" s="120">
        <f t="shared" si="9"/>
        <v>1097.9000000000001</v>
      </c>
      <c r="K83" s="120">
        <f t="shared" si="9"/>
        <v>169.08</v>
      </c>
      <c r="L83" s="120">
        <f t="shared" si="9"/>
        <v>1266.9799999999998</v>
      </c>
      <c r="M83" s="411">
        <f>M82+M53</f>
        <v>79.75</v>
      </c>
      <c r="N83" s="411">
        <f t="shared" ref="N83" si="10">N82+N53</f>
        <v>2721.0699999999997</v>
      </c>
    </row>
    <row r="84" spans="1:14">
      <c r="D84" s="2"/>
      <c r="E84" s="2"/>
      <c r="F84" s="2"/>
      <c r="G84" s="2"/>
      <c r="H84" s="2"/>
      <c r="I84" s="2"/>
      <c r="J84" s="2"/>
    </row>
    <row r="85" spans="1:14">
      <c r="D85" s="2"/>
      <c r="E85" s="2"/>
      <c r="F85" s="2"/>
      <c r="G85" s="2"/>
      <c r="H85" s="2"/>
      <c r="I85" s="2"/>
      <c r="J85" s="2"/>
    </row>
    <row r="86" spans="1:14">
      <c r="D86" s="2"/>
      <c r="E86" s="2"/>
      <c r="F86" s="2"/>
      <c r="G86" s="2"/>
      <c r="H86" s="2"/>
      <c r="I86" s="2"/>
      <c r="J86" s="2"/>
    </row>
    <row r="87" spans="1:14">
      <c r="D87" s="2"/>
      <c r="E87" s="2"/>
      <c r="F87" s="2"/>
      <c r="G87" s="2"/>
      <c r="H87" s="2"/>
      <c r="I87" s="2"/>
      <c r="J87" s="2"/>
    </row>
    <row r="88" spans="1:14">
      <c r="D88" s="2"/>
      <c r="E88" s="2"/>
      <c r="F88" s="2"/>
      <c r="G88" s="2"/>
      <c r="H88" s="2"/>
      <c r="I88" s="2"/>
      <c r="J88" s="2"/>
    </row>
    <row r="89" spans="1:14">
      <c r="D89" s="2"/>
      <c r="E89" s="2"/>
      <c r="F89" s="2"/>
      <c r="G89" s="2"/>
      <c r="H89" s="2"/>
      <c r="I89" s="2"/>
      <c r="J89" s="2"/>
    </row>
    <row r="90" spans="1:14">
      <c r="D90" s="2"/>
      <c r="E90" s="2"/>
      <c r="F90" s="2"/>
      <c r="G90" s="2"/>
      <c r="H90" s="2"/>
      <c r="I90" s="2"/>
      <c r="J90" s="2"/>
    </row>
    <row r="91" spans="1:14">
      <c r="D91" s="2"/>
      <c r="E91" s="2"/>
      <c r="F91" s="2"/>
      <c r="G91" s="2"/>
      <c r="H91" s="2"/>
      <c r="I91" s="2"/>
      <c r="J91" s="2"/>
    </row>
    <row r="92" spans="1:14">
      <c r="D92" s="2"/>
      <c r="E92" s="2"/>
      <c r="F92" s="2"/>
      <c r="G92" s="2"/>
      <c r="H92" s="2"/>
      <c r="I92" s="2"/>
      <c r="J92" s="2"/>
    </row>
    <row r="93" spans="1:14">
      <c r="D93" s="2"/>
      <c r="E93" s="2"/>
      <c r="F93" s="2"/>
      <c r="G93" s="2"/>
      <c r="H93" s="2"/>
      <c r="I93" s="2"/>
      <c r="J93" s="2"/>
    </row>
    <row r="94" spans="1:14">
      <c r="D94" s="2"/>
      <c r="E94" s="2"/>
      <c r="F94" s="2"/>
      <c r="G94" s="2"/>
      <c r="H94" s="2"/>
      <c r="I94" s="2"/>
      <c r="J94" s="2"/>
    </row>
    <row r="95" spans="1:14">
      <c r="D95" s="2"/>
      <c r="E95" s="2"/>
      <c r="F95" s="2"/>
      <c r="G95" s="2"/>
      <c r="H95" s="2"/>
      <c r="I95" s="2"/>
      <c r="J95" s="2"/>
    </row>
    <row r="96" spans="1:14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  <row r="391" spans="4:10">
      <c r="D391" s="2"/>
      <c r="E391" s="2"/>
      <c r="F391" s="2"/>
      <c r="G391" s="2"/>
      <c r="H391" s="2"/>
      <c r="I391" s="2"/>
      <c r="J391" s="2"/>
    </row>
    <row r="392" spans="4:10">
      <c r="D392" s="2"/>
      <c r="E392" s="2"/>
      <c r="F392" s="2"/>
      <c r="G392" s="2"/>
      <c r="H392" s="2"/>
      <c r="I392" s="2"/>
      <c r="J392" s="2"/>
    </row>
    <row r="393" spans="4:10">
      <c r="D393" s="2"/>
      <c r="E393" s="2"/>
      <c r="F393" s="2"/>
      <c r="G393" s="2"/>
      <c r="H393" s="2"/>
      <c r="I393" s="2"/>
      <c r="J393" s="2"/>
    </row>
    <row r="394" spans="4:10">
      <c r="D394" s="2"/>
      <c r="E394" s="2"/>
      <c r="F394" s="2"/>
      <c r="G394" s="2"/>
      <c r="H394" s="2"/>
      <c r="I394" s="2"/>
      <c r="J394" s="2"/>
    </row>
    <row r="395" spans="4:10">
      <c r="D395" s="2"/>
      <c r="E395" s="2"/>
      <c r="F395" s="2"/>
      <c r="G395" s="2"/>
      <c r="H395" s="2"/>
      <c r="I395" s="2"/>
      <c r="J395" s="2"/>
    </row>
    <row r="396" spans="4:10">
      <c r="D396" s="2"/>
      <c r="E396" s="2"/>
      <c r="F396" s="2"/>
      <c r="G396" s="2"/>
      <c r="H396" s="2"/>
      <c r="I396" s="2"/>
      <c r="J396" s="2"/>
    </row>
    <row r="397" spans="4:10">
      <c r="D397" s="2"/>
      <c r="E397" s="2"/>
      <c r="F397" s="2"/>
      <c r="G397" s="2"/>
      <c r="H397" s="2"/>
      <c r="I397" s="2"/>
      <c r="J397" s="2"/>
    </row>
    <row r="398" spans="4:10">
      <c r="D398" s="2"/>
      <c r="E398" s="2"/>
      <c r="F398" s="2"/>
      <c r="G398" s="2"/>
      <c r="H398" s="2"/>
      <c r="I398" s="2"/>
      <c r="J398" s="2"/>
    </row>
    <row r="399" spans="4:10">
      <c r="D399" s="2"/>
      <c r="E399" s="2"/>
      <c r="F399" s="2"/>
      <c r="G399" s="2"/>
      <c r="H399" s="2"/>
      <c r="I399" s="2"/>
      <c r="J399" s="2"/>
    </row>
    <row r="400" spans="4:10">
      <c r="D400" s="2"/>
      <c r="E400" s="2"/>
      <c r="F400" s="2"/>
      <c r="G400" s="2"/>
      <c r="H400" s="2"/>
      <c r="I400" s="2"/>
      <c r="J400" s="2"/>
    </row>
    <row r="401" spans="4:10">
      <c r="D401" s="2"/>
      <c r="E401" s="2"/>
      <c r="F401" s="2"/>
      <c r="G401" s="2"/>
      <c r="H401" s="2"/>
      <c r="I401" s="2"/>
      <c r="J401" s="2"/>
    </row>
    <row r="402" spans="4:10">
      <c r="D402" s="2"/>
      <c r="E402" s="2"/>
      <c r="F402" s="2"/>
      <c r="G402" s="2"/>
      <c r="H402" s="2"/>
      <c r="I402" s="2"/>
      <c r="J402" s="2"/>
    </row>
    <row r="403" spans="4:10">
      <c r="D403" s="2"/>
      <c r="E403" s="2"/>
      <c r="F403" s="2"/>
      <c r="G403" s="2"/>
      <c r="H403" s="2"/>
      <c r="I403" s="2"/>
      <c r="J403" s="2"/>
    </row>
    <row r="404" spans="4:10">
      <c r="D404" s="2"/>
      <c r="E404" s="2"/>
      <c r="F404" s="2"/>
      <c r="G404" s="2"/>
      <c r="H404" s="2"/>
      <c r="I404" s="2"/>
      <c r="J404" s="2"/>
    </row>
    <row r="405" spans="4:10">
      <c r="D405" s="2"/>
      <c r="E405" s="2"/>
      <c r="F405" s="2"/>
      <c r="G405" s="2"/>
      <c r="H405" s="2"/>
      <c r="I405" s="2"/>
      <c r="J405" s="2"/>
    </row>
    <row r="406" spans="4:10">
      <c r="D406" s="2"/>
      <c r="E406" s="2"/>
      <c r="F406" s="2"/>
      <c r="G406" s="2"/>
      <c r="H406" s="2"/>
      <c r="I406" s="2"/>
      <c r="J406" s="2"/>
    </row>
    <row r="407" spans="4:10">
      <c r="D407" s="2"/>
      <c r="E407" s="2"/>
      <c r="F407" s="2"/>
      <c r="G407" s="2"/>
      <c r="H407" s="2"/>
      <c r="I407" s="2"/>
      <c r="J407" s="2"/>
    </row>
    <row r="408" spans="4:10">
      <c r="D408" s="2"/>
      <c r="E408" s="2"/>
      <c r="F408" s="2"/>
      <c r="G408" s="2"/>
      <c r="H408" s="2"/>
      <c r="I408" s="2"/>
      <c r="J408" s="2"/>
    </row>
    <row r="409" spans="4:10">
      <c r="D409" s="2"/>
      <c r="E409" s="2"/>
      <c r="F409" s="2"/>
      <c r="G409" s="2"/>
      <c r="H409" s="2"/>
      <c r="I409" s="2"/>
      <c r="J409" s="2"/>
    </row>
    <row r="410" spans="4:10">
      <c r="D410" s="2"/>
      <c r="E410" s="2"/>
      <c r="F410" s="2"/>
      <c r="G410" s="2"/>
      <c r="H410" s="2"/>
      <c r="I410" s="2"/>
      <c r="J410" s="2"/>
    </row>
    <row r="411" spans="4:10">
      <c r="D411" s="2"/>
      <c r="E411" s="2"/>
      <c r="F411" s="2"/>
      <c r="G411" s="2"/>
      <c r="H411" s="2"/>
      <c r="I411" s="2"/>
      <c r="J411" s="2"/>
    </row>
    <row r="412" spans="4:10">
      <c r="D412" s="2"/>
      <c r="E412" s="2"/>
      <c r="F412" s="2"/>
      <c r="G412" s="2"/>
      <c r="H412" s="2"/>
      <c r="I412" s="2"/>
      <c r="J412" s="2"/>
    </row>
    <row r="413" spans="4:10">
      <c r="D413" s="2"/>
      <c r="E413" s="2"/>
      <c r="F413" s="2"/>
      <c r="G413" s="2"/>
      <c r="H413" s="2"/>
      <c r="I413" s="2"/>
      <c r="J413" s="2"/>
    </row>
    <row r="414" spans="4:10">
      <c r="D414" s="2"/>
      <c r="E414" s="2"/>
      <c r="F414" s="2"/>
      <c r="G414" s="2"/>
      <c r="H414" s="2"/>
      <c r="I414" s="2"/>
      <c r="J414" s="2"/>
    </row>
    <row r="415" spans="4:10">
      <c r="D415" s="2"/>
      <c r="E415" s="2"/>
      <c r="F415" s="2"/>
      <c r="G415" s="2"/>
      <c r="H415" s="2"/>
      <c r="I415" s="2"/>
      <c r="J415" s="2"/>
    </row>
    <row r="416" spans="4:10">
      <c r="D416" s="2"/>
      <c r="E416" s="2"/>
      <c r="F416" s="2"/>
      <c r="G416" s="2"/>
      <c r="H416" s="2"/>
      <c r="I416" s="2"/>
      <c r="J416" s="2"/>
    </row>
    <row r="417" spans="4:10">
      <c r="D417" s="2"/>
      <c r="E417" s="2"/>
      <c r="F417" s="2"/>
      <c r="G417" s="2"/>
      <c r="H417" s="2"/>
      <c r="I417" s="2"/>
      <c r="J417" s="2"/>
    </row>
    <row r="418" spans="4:10">
      <c r="D418" s="2"/>
      <c r="E418" s="2"/>
      <c r="F418" s="2"/>
      <c r="G418" s="2"/>
      <c r="H418" s="2"/>
      <c r="I418" s="2"/>
      <c r="J418" s="2"/>
    </row>
    <row r="419" spans="4:10">
      <c r="D419" s="2"/>
      <c r="E419" s="2"/>
      <c r="F419" s="2"/>
      <c r="G419" s="2"/>
      <c r="H419" s="2"/>
      <c r="I419" s="2"/>
      <c r="J419" s="2"/>
    </row>
    <row r="420" spans="4:10">
      <c r="D420" s="2"/>
      <c r="E420" s="2"/>
      <c r="F420" s="2"/>
      <c r="G420" s="2"/>
      <c r="H420" s="2"/>
      <c r="I420" s="2"/>
      <c r="J420" s="2"/>
    </row>
    <row r="421" spans="4:10">
      <c r="D421" s="2"/>
      <c r="E421" s="2"/>
      <c r="F421" s="2"/>
      <c r="G421" s="2"/>
      <c r="H421" s="2"/>
      <c r="I421" s="2"/>
      <c r="J421" s="2"/>
    </row>
    <row r="422" spans="4:10">
      <c r="D422" s="2"/>
      <c r="E422" s="2"/>
      <c r="F422" s="2"/>
      <c r="G422" s="2"/>
      <c r="H422" s="2"/>
      <c r="I422" s="2"/>
      <c r="J422" s="2"/>
    </row>
    <row r="423" spans="4:10">
      <c r="D423" s="2"/>
      <c r="E423" s="2"/>
      <c r="F423" s="2"/>
      <c r="G423" s="2"/>
      <c r="H423" s="2"/>
      <c r="I423" s="2"/>
      <c r="J423" s="2"/>
    </row>
    <row r="424" spans="4:10">
      <c r="D424" s="2"/>
      <c r="E424" s="2"/>
      <c r="F424" s="2"/>
      <c r="G424" s="2"/>
      <c r="H424" s="2"/>
      <c r="I424" s="2"/>
      <c r="J424" s="2"/>
    </row>
    <row r="425" spans="4:10">
      <c r="D425" s="2"/>
      <c r="E425" s="2"/>
      <c r="F425" s="2"/>
      <c r="G425" s="2"/>
      <c r="H425" s="2"/>
      <c r="I425" s="2"/>
      <c r="J425" s="2"/>
    </row>
    <row r="426" spans="4:10">
      <c r="D426" s="2"/>
      <c r="E426" s="2"/>
      <c r="F426" s="2"/>
      <c r="G426" s="2"/>
      <c r="H426" s="2"/>
      <c r="I426" s="2"/>
      <c r="J426" s="2"/>
    </row>
    <row r="427" spans="4:10">
      <c r="D427" s="2"/>
      <c r="E427" s="2"/>
      <c r="F427" s="2"/>
      <c r="G427" s="2"/>
      <c r="H427" s="2"/>
      <c r="I427" s="2"/>
      <c r="J427" s="2"/>
    </row>
    <row r="428" spans="4:10">
      <c r="D428" s="2"/>
      <c r="E428" s="2"/>
      <c r="F428" s="2"/>
      <c r="G428" s="2"/>
      <c r="H428" s="2"/>
      <c r="I428" s="2"/>
      <c r="J428" s="2"/>
    </row>
    <row r="429" spans="4:10">
      <c r="D429" s="2"/>
      <c r="E429" s="2"/>
      <c r="F429" s="2"/>
      <c r="G429" s="2"/>
      <c r="H429" s="2"/>
      <c r="I429" s="2"/>
      <c r="J429" s="2"/>
    </row>
    <row r="430" spans="4:10">
      <c r="D430" s="2"/>
      <c r="E430" s="2"/>
      <c r="F430" s="2"/>
      <c r="G430" s="2"/>
      <c r="H430" s="2"/>
      <c r="I430" s="2"/>
      <c r="J430" s="2"/>
    </row>
    <row r="431" spans="4:10">
      <c r="D431" s="2"/>
      <c r="E431" s="2"/>
      <c r="F431" s="2"/>
      <c r="G431" s="2"/>
      <c r="H431" s="2"/>
      <c r="I431" s="2"/>
      <c r="J431" s="2"/>
    </row>
    <row r="432" spans="4:10">
      <c r="D432" s="2"/>
      <c r="E432" s="2"/>
      <c r="F432" s="2"/>
      <c r="G432" s="2"/>
      <c r="H432" s="2"/>
      <c r="I432" s="2"/>
      <c r="J432" s="2"/>
    </row>
    <row r="433" spans="4:10">
      <c r="D433" s="2"/>
      <c r="E433" s="2"/>
      <c r="F433" s="2"/>
      <c r="G433" s="2"/>
      <c r="H433" s="2"/>
      <c r="I433" s="2"/>
      <c r="J433" s="2"/>
    </row>
    <row r="434" spans="4:10">
      <c r="D434" s="2"/>
      <c r="E434" s="2"/>
      <c r="F434" s="2"/>
      <c r="G434" s="2"/>
      <c r="H434" s="2"/>
      <c r="I434" s="2"/>
      <c r="J434" s="2"/>
    </row>
    <row r="435" spans="4:10">
      <c r="D435" s="2"/>
      <c r="E435" s="2"/>
      <c r="F435" s="2"/>
      <c r="G435" s="2"/>
      <c r="H435" s="2"/>
      <c r="I435" s="2"/>
      <c r="J435" s="2"/>
    </row>
    <row r="436" spans="4:10">
      <c r="D436" s="2"/>
      <c r="E436" s="2"/>
      <c r="F436" s="2"/>
      <c r="G436" s="2"/>
      <c r="H436" s="2"/>
      <c r="I436" s="2"/>
      <c r="J436" s="2"/>
    </row>
    <row r="437" spans="4:10">
      <c r="D437" s="2"/>
      <c r="E437" s="2"/>
      <c r="F437" s="2"/>
      <c r="G437" s="2"/>
      <c r="H437" s="2"/>
      <c r="I437" s="2"/>
      <c r="J437" s="2"/>
    </row>
    <row r="438" spans="4:10">
      <c r="D438" s="2"/>
      <c r="E438" s="2"/>
      <c r="F438" s="2"/>
      <c r="G438" s="2"/>
      <c r="H438" s="2"/>
      <c r="I438" s="2"/>
      <c r="J438" s="2"/>
    </row>
    <row r="439" spans="4:10">
      <c r="D439" s="2"/>
      <c r="E439" s="2"/>
      <c r="F439" s="2"/>
      <c r="G439" s="2"/>
      <c r="H439" s="2"/>
      <c r="I439" s="2"/>
      <c r="J439" s="2"/>
    </row>
    <row r="440" spans="4:10">
      <c r="D440" s="2"/>
      <c r="E440" s="2"/>
      <c r="F440" s="2"/>
      <c r="G440" s="2"/>
      <c r="H440" s="2"/>
      <c r="I440" s="2"/>
      <c r="J440" s="2"/>
    </row>
    <row r="441" spans="4:10">
      <c r="D441" s="2"/>
      <c r="E441" s="2"/>
      <c r="F441" s="2"/>
      <c r="G441" s="2"/>
      <c r="H441" s="2"/>
      <c r="I441" s="2"/>
      <c r="J441" s="2"/>
    </row>
    <row r="442" spans="4:10">
      <c r="D442" s="2"/>
      <c r="E442" s="2"/>
      <c r="F442" s="2"/>
      <c r="G442" s="2"/>
      <c r="H442" s="2"/>
      <c r="I442" s="2"/>
      <c r="J442" s="2"/>
    </row>
    <row r="443" spans="4:10">
      <c r="D443" s="2"/>
      <c r="E443" s="2"/>
      <c r="F443" s="2"/>
      <c r="G443" s="2"/>
      <c r="H443" s="2"/>
      <c r="I443" s="2"/>
      <c r="J443" s="2"/>
    </row>
    <row r="444" spans="4:10">
      <c r="D444" s="2"/>
      <c r="E444" s="2"/>
      <c r="F444" s="2"/>
      <c r="G444" s="2"/>
      <c r="H444" s="2"/>
      <c r="I444" s="2"/>
      <c r="J444" s="2"/>
    </row>
    <row r="445" spans="4:10">
      <c r="D445" s="2"/>
      <c r="E445" s="2"/>
      <c r="F445" s="2"/>
      <c r="G445" s="2"/>
      <c r="H445" s="2"/>
      <c r="I445" s="2"/>
      <c r="J445" s="2"/>
    </row>
    <row r="446" spans="4:10">
      <c r="D446" s="2"/>
      <c r="E446" s="2"/>
      <c r="F446" s="2"/>
      <c r="G446" s="2"/>
      <c r="H446" s="2"/>
      <c r="I446" s="2"/>
      <c r="J446" s="2"/>
    </row>
    <row r="447" spans="4:10">
      <c r="D447" s="2"/>
      <c r="E447" s="2"/>
      <c r="F447" s="2"/>
      <c r="G447" s="2"/>
      <c r="H447" s="2"/>
      <c r="I447" s="2"/>
      <c r="J447" s="2"/>
    </row>
    <row r="448" spans="4:10">
      <c r="D448" s="2"/>
      <c r="E448" s="2"/>
      <c r="F448" s="2"/>
      <c r="G448" s="2"/>
      <c r="H448" s="2"/>
      <c r="I448" s="2"/>
      <c r="J448" s="2"/>
    </row>
    <row r="449" spans="4:10">
      <c r="D449" s="2"/>
      <c r="E449" s="2"/>
      <c r="F449" s="2"/>
      <c r="G449" s="2"/>
      <c r="H449" s="2"/>
      <c r="I449" s="2"/>
      <c r="J449" s="2"/>
    </row>
    <row r="450" spans="4:10">
      <c r="D450" s="2"/>
      <c r="E450" s="2"/>
      <c r="F450" s="2"/>
      <c r="G450" s="2"/>
      <c r="H450" s="2"/>
      <c r="I450" s="2"/>
      <c r="J450" s="2"/>
    </row>
    <row r="451" spans="4:10">
      <c r="D451" s="2"/>
      <c r="E451" s="2"/>
      <c r="F451" s="2"/>
      <c r="G451" s="2"/>
      <c r="H451" s="2"/>
      <c r="I451" s="2"/>
      <c r="J451" s="2"/>
    </row>
    <row r="452" spans="4:10">
      <c r="D452" s="2"/>
      <c r="E452" s="2"/>
      <c r="F452" s="2"/>
      <c r="G452" s="2"/>
      <c r="H452" s="2"/>
      <c r="I452" s="2"/>
      <c r="J452" s="2"/>
    </row>
    <row r="453" spans="4:10">
      <c r="D453" s="2"/>
      <c r="E453" s="2"/>
      <c r="F453" s="2"/>
      <c r="G453" s="2"/>
      <c r="H453" s="2"/>
      <c r="I453" s="2"/>
      <c r="J453" s="2"/>
    </row>
    <row r="454" spans="4:10">
      <c r="D454" s="2"/>
      <c r="E454" s="2"/>
      <c r="F454" s="2"/>
      <c r="G454" s="2"/>
      <c r="H454" s="2"/>
      <c r="I454" s="2"/>
      <c r="J454" s="2"/>
    </row>
    <row r="455" spans="4:10">
      <c r="D455" s="2"/>
      <c r="E455" s="2"/>
      <c r="F455" s="2"/>
      <c r="G455" s="2"/>
      <c r="H455" s="2"/>
      <c r="I455" s="2"/>
      <c r="J455" s="2"/>
    </row>
    <row r="456" spans="4:10">
      <c r="D456" s="2"/>
      <c r="E456" s="2"/>
      <c r="F456" s="2"/>
      <c r="G456" s="2"/>
      <c r="H456" s="2"/>
      <c r="I456" s="2"/>
      <c r="J456" s="2"/>
    </row>
    <row r="457" spans="4:10">
      <c r="D457" s="2"/>
      <c r="E457" s="2"/>
      <c r="F457" s="2"/>
      <c r="G457" s="2"/>
      <c r="H457" s="2"/>
      <c r="I457" s="2"/>
      <c r="J457" s="2"/>
    </row>
    <row r="458" spans="4:10">
      <c r="D458" s="2"/>
      <c r="E458" s="2"/>
      <c r="F458" s="2"/>
      <c r="G458" s="2"/>
      <c r="H458" s="2"/>
      <c r="I458" s="2"/>
      <c r="J458" s="2"/>
    </row>
    <row r="459" spans="4:10">
      <c r="D459" s="2"/>
      <c r="E459" s="2"/>
      <c r="F459" s="2"/>
      <c r="G459" s="2"/>
      <c r="H459" s="2"/>
      <c r="I459" s="2"/>
      <c r="J459" s="2"/>
    </row>
    <row r="460" spans="4:10">
      <c r="D460" s="2"/>
      <c r="E460" s="2"/>
      <c r="F460" s="2"/>
      <c r="G460" s="2"/>
      <c r="H460" s="2"/>
      <c r="I460" s="2"/>
      <c r="J460" s="2"/>
    </row>
    <row r="461" spans="4:10">
      <c r="D461" s="2"/>
      <c r="E461" s="2"/>
      <c r="F461" s="2"/>
      <c r="G461" s="2"/>
      <c r="H461" s="2"/>
      <c r="I461" s="2"/>
      <c r="J461" s="2"/>
    </row>
    <row r="462" spans="4:10">
      <c r="D462" s="2"/>
      <c r="E462" s="2"/>
      <c r="F462" s="2"/>
      <c r="G462" s="2"/>
      <c r="H462" s="2"/>
      <c r="I462" s="2"/>
      <c r="J462" s="2"/>
    </row>
    <row r="463" spans="4:10">
      <c r="D463" s="2"/>
      <c r="E463" s="2"/>
      <c r="F463" s="2"/>
      <c r="G463" s="2"/>
      <c r="H463" s="2"/>
      <c r="I463" s="2"/>
      <c r="J463" s="2"/>
    </row>
    <row r="464" spans="4:10">
      <c r="D464" s="2"/>
      <c r="E464" s="2"/>
      <c r="F464" s="2"/>
      <c r="G464" s="2"/>
      <c r="H464" s="2"/>
      <c r="I464" s="2"/>
      <c r="J464" s="2"/>
    </row>
    <row r="465" spans="4:10">
      <c r="D465" s="2"/>
      <c r="E465" s="2"/>
      <c r="F465" s="2"/>
      <c r="G465" s="2"/>
      <c r="H465" s="2"/>
      <c r="I465" s="2"/>
      <c r="J465" s="2"/>
    </row>
    <row r="466" spans="4:10">
      <c r="D466" s="2"/>
      <c r="E466" s="2"/>
      <c r="F466" s="2"/>
      <c r="G466" s="2"/>
      <c r="H466" s="2"/>
      <c r="I466" s="2"/>
      <c r="J466" s="2"/>
    </row>
    <row r="467" spans="4:10">
      <c r="D467" s="2"/>
      <c r="E467" s="2"/>
      <c r="F467" s="2"/>
      <c r="G467" s="2"/>
      <c r="H467" s="2"/>
      <c r="I467" s="2"/>
      <c r="J467" s="2"/>
    </row>
    <row r="468" spans="4:10">
      <c r="D468" s="2"/>
      <c r="E468" s="2"/>
      <c r="F468" s="2"/>
      <c r="G468" s="2"/>
      <c r="H468" s="2"/>
      <c r="I468" s="2"/>
      <c r="J468" s="2"/>
    </row>
    <row r="469" spans="4:10">
      <c r="D469" s="2"/>
      <c r="E469" s="2"/>
      <c r="F469" s="2"/>
      <c r="G469" s="2"/>
      <c r="H469" s="2"/>
      <c r="I469" s="2"/>
      <c r="J469" s="2"/>
    </row>
    <row r="470" spans="4:10">
      <c r="D470" s="2"/>
      <c r="E470" s="2"/>
      <c r="F470" s="2"/>
      <c r="G470" s="2"/>
      <c r="H470" s="2"/>
      <c r="I470" s="2"/>
      <c r="J470" s="2"/>
    </row>
    <row r="471" spans="4:10">
      <c r="D471" s="2"/>
      <c r="E471" s="2"/>
      <c r="F471" s="2"/>
      <c r="G471" s="2"/>
      <c r="H471" s="2"/>
      <c r="I471" s="2"/>
      <c r="J471" s="2"/>
    </row>
    <row r="472" spans="4:10">
      <c r="D472" s="2"/>
      <c r="E472" s="2"/>
      <c r="F472" s="2"/>
      <c r="G472" s="2"/>
      <c r="H472" s="2"/>
      <c r="I472" s="2"/>
      <c r="J472" s="2"/>
    </row>
    <row r="473" spans="4:10">
      <c r="D473" s="2"/>
      <c r="E473" s="2"/>
      <c r="F473" s="2"/>
      <c r="G473" s="2"/>
      <c r="H473" s="2"/>
      <c r="I473" s="2"/>
      <c r="J473" s="2"/>
    </row>
    <row r="474" spans="4:10">
      <c r="D474" s="2"/>
      <c r="E474" s="2"/>
      <c r="F474" s="2"/>
      <c r="G474" s="2"/>
      <c r="H474" s="2"/>
      <c r="I474" s="2"/>
      <c r="J474" s="2"/>
    </row>
    <row r="475" spans="4:10">
      <c r="D475" s="2"/>
      <c r="E475" s="2"/>
      <c r="F475" s="2"/>
      <c r="G475" s="2"/>
      <c r="H475" s="2"/>
      <c r="I475" s="2"/>
      <c r="J475" s="2"/>
    </row>
    <row r="476" spans="4:10">
      <c r="D476" s="2"/>
      <c r="E476" s="2"/>
      <c r="F476" s="2"/>
      <c r="G476" s="2"/>
      <c r="H476" s="2"/>
      <c r="I476" s="2"/>
      <c r="J476" s="2"/>
    </row>
    <row r="477" spans="4:10">
      <c r="D477" s="2"/>
      <c r="E477" s="2"/>
      <c r="F477" s="2"/>
      <c r="G477" s="2"/>
      <c r="H477" s="2"/>
      <c r="I477" s="2"/>
      <c r="J477" s="2"/>
    </row>
    <row r="478" spans="4:10">
      <c r="D478" s="2"/>
      <c r="E478" s="2"/>
      <c r="F478" s="2"/>
      <c r="G478" s="2"/>
      <c r="H478" s="2"/>
      <c r="I478" s="2"/>
      <c r="J478" s="2"/>
    </row>
    <row r="479" spans="4:10">
      <c r="D479" s="2"/>
      <c r="E479" s="2"/>
      <c r="F479" s="2"/>
      <c r="G479" s="2"/>
      <c r="H479" s="2"/>
      <c r="I479" s="2"/>
      <c r="J479" s="2"/>
    </row>
    <row r="480" spans="4:10">
      <c r="D480" s="2"/>
      <c r="E480" s="2"/>
      <c r="F480" s="2"/>
      <c r="G480" s="2"/>
      <c r="H480" s="2"/>
      <c r="I480" s="2"/>
      <c r="J480" s="2"/>
    </row>
    <row r="481" spans="4:10">
      <c r="D481" s="2"/>
      <c r="E481" s="2"/>
      <c r="F481" s="2"/>
      <c r="G481" s="2"/>
      <c r="H481" s="2"/>
      <c r="I481" s="2"/>
      <c r="J481" s="2"/>
    </row>
    <row r="482" spans="4:10">
      <c r="D482" s="2"/>
      <c r="E482" s="2"/>
      <c r="F482" s="2"/>
      <c r="G482" s="2"/>
      <c r="H482" s="2"/>
      <c r="I482" s="2"/>
      <c r="J482" s="2"/>
    </row>
    <row r="483" spans="4:10">
      <c r="D483" s="2"/>
      <c r="E483" s="2"/>
      <c r="F483" s="2"/>
      <c r="G483" s="2"/>
      <c r="H483" s="2"/>
      <c r="I483" s="2"/>
      <c r="J483" s="2"/>
    </row>
    <row r="484" spans="4:10">
      <c r="D484" s="2"/>
      <c r="E484" s="2"/>
      <c r="F484" s="2"/>
      <c r="G484" s="2"/>
      <c r="H484" s="2"/>
      <c r="I484" s="2"/>
      <c r="J484" s="2"/>
    </row>
    <row r="485" spans="4:10">
      <c r="D485" s="2"/>
      <c r="E485" s="2"/>
      <c r="F485" s="2"/>
      <c r="G485" s="2"/>
      <c r="H485" s="2"/>
      <c r="I485" s="2"/>
      <c r="J485" s="2"/>
    </row>
    <row r="486" spans="4:10">
      <c r="D486" s="2"/>
      <c r="E486" s="2"/>
      <c r="F486" s="2"/>
      <c r="G486" s="2"/>
      <c r="H486" s="2"/>
      <c r="I486" s="2"/>
      <c r="J486" s="2"/>
    </row>
    <row r="487" spans="4:10">
      <c r="D487" s="2"/>
      <c r="E487" s="2"/>
      <c r="F487" s="2"/>
      <c r="G487" s="2"/>
      <c r="H487" s="2"/>
      <c r="I487" s="2"/>
      <c r="J487" s="2"/>
    </row>
    <row r="488" spans="4:10">
      <c r="D488" s="2"/>
      <c r="E488" s="2"/>
      <c r="F488" s="2"/>
      <c r="G488" s="2"/>
      <c r="H488" s="2"/>
      <c r="I488" s="2"/>
      <c r="J488" s="2"/>
    </row>
    <row r="489" spans="4:10">
      <c r="D489" s="2"/>
      <c r="E489" s="2"/>
      <c r="F489" s="2"/>
      <c r="G489" s="2"/>
      <c r="H489" s="2"/>
      <c r="I489" s="2"/>
      <c r="J489" s="2"/>
    </row>
    <row r="490" spans="4:10">
      <c r="D490" s="2"/>
      <c r="E490" s="2"/>
      <c r="F490" s="2"/>
      <c r="G490" s="2"/>
      <c r="H490" s="2"/>
      <c r="I490" s="2"/>
      <c r="J490" s="2"/>
    </row>
    <row r="491" spans="4:10">
      <c r="D491" s="2"/>
      <c r="E491" s="2"/>
      <c r="F491" s="2"/>
      <c r="G491" s="2"/>
      <c r="H491" s="2"/>
      <c r="I491" s="2"/>
      <c r="J491" s="2"/>
    </row>
    <row r="492" spans="4:10">
      <c r="D492" s="2"/>
      <c r="E492" s="2"/>
      <c r="F492" s="2"/>
      <c r="G492" s="2"/>
      <c r="H492" s="2"/>
      <c r="I492" s="2"/>
      <c r="J492" s="2"/>
    </row>
    <row r="493" spans="4:10">
      <c r="D493" s="2"/>
      <c r="E493" s="2"/>
      <c r="F493" s="2"/>
      <c r="G493" s="2"/>
      <c r="H493" s="2"/>
      <c r="I493" s="2"/>
      <c r="J493" s="2"/>
    </row>
    <row r="494" spans="4:10">
      <c r="D494" s="2"/>
      <c r="E494" s="2"/>
      <c r="F494" s="2"/>
      <c r="G494" s="2"/>
      <c r="H494" s="2"/>
      <c r="I494" s="2"/>
      <c r="J494" s="2"/>
    </row>
    <row r="495" spans="4:10">
      <c r="D495" s="2"/>
      <c r="E495" s="2"/>
      <c r="F495" s="2"/>
      <c r="G495" s="2"/>
      <c r="H495" s="2"/>
      <c r="I495" s="2"/>
      <c r="J495" s="2"/>
    </row>
    <row r="496" spans="4:10">
      <c r="D496" s="2"/>
      <c r="E496" s="2"/>
      <c r="F496" s="2"/>
      <c r="G496" s="2"/>
      <c r="H496" s="2"/>
      <c r="I496" s="2"/>
      <c r="J496" s="2"/>
    </row>
    <row r="497" spans="4:10">
      <c r="D497" s="2"/>
      <c r="E497" s="2"/>
      <c r="F497" s="2"/>
      <c r="G497" s="2"/>
      <c r="H497" s="2"/>
      <c r="I497" s="2"/>
      <c r="J497" s="2"/>
    </row>
    <row r="498" spans="4:10">
      <c r="D498" s="2"/>
      <c r="E498" s="2"/>
      <c r="F498" s="2"/>
      <c r="G498" s="2"/>
      <c r="H498" s="2"/>
      <c r="I498" s="2"/>
      <c r="J498" s="2"/>
    </row>
    <row r="499" spans="4:10">
      <c r="D499" s="2"/>
      <c r="E499" s="2"/>
      <c r="F499" s="2"/>
      <c r="G499" s="2"/>
      <c r="H499" s="2"/>
      <c r="I499" s="2"/>
      <c r="J499" s="2"/>
    </row>
    <row r="500" spans="4:10">
      <c r="D500" s="2"/>
      <c r="E500" s="2"/>
      <c r="F500" s="2"/>
      <c r="G500" s="2"/>
      <c r="H500" s="2"/>
      <c r="I500" s="2"/>
      <c r="J500" s="2"/>
    </row>
    <row r="501" spans="4:10">
      <c r="D501" s="2"/>
      <c r="E501" s="2"/>
      <c r="F501" s="2"/>
      <c r="G501" s="2"/>
      <c r="H501" s="2"/>
      <c r="I501" s="2"/>
      <c r="J501" s="2"/>
    </row>
    <row r="502" spans="4:10">
      <c r="D502" s="2"/>
      <c r="E502" s="2"/>
      <c r="F502" s="2"/>
      <c r="G502" s="2"/>
      <c r="H502" s="2"/>
      <c r="I502" s="2"/>
      <c r="J502" s="2"/>
    </row>
    <row r="503" spans="4:10">
      <c r="D503" s="2"/>
      <c r="E503" s="2"/>
      <c r="F503" s="2"/>
      <c r="G503" s="2"/>
      <c r="H503" s="2"/>
      <c r="I503" s="2"/>
      <c r="J503" s="2"/>
    </row>
    <row r="504" spans="4:10">
      <c r="D504" s="2"/>
      <c r="E504" s="2"/>
      <c r="F504" s="2"/>
      <c r="G504" s="2"/>
      <c r="H504" s="2"/>
      <c r="I504" s="2"/>
      <c r="J504" s="2"/>
    </row>
    <row r="505" spans="4:10">
      <c r="D505" s="2"/>
      <c r="E505" s="2"/>
      <c r="F505" s="2"/>
      <c r="G505" s="2"/>
      <c r="H505" s="2"/>
      <c r="I505" s="2"/>
      <c r="J505" s="2"/>
    </row>
    <row r="506" spans="4:10">
      <c r="D506" s="2"/>
      <c r="E506" s="2"/>
      <c r="F506" s="2"/>
      <c r="G506" s="2"/>
      <c r="H506" s="2"/>
      <c r="I506" s="2"/>
      <c r="J506" s="2"/>
    </row>
    <row r="507" spans="4:10">
      <c r="D507" s="2"/>
      <c r="E507" s="2"/>
      <c r="F507" s="2"/>
      <c r="G507" s="2"/>
      <c r="H507" s="2"/>
      <c r="I507" s="2"/>
      <c r="J507" s="2"/>
    </row>
    <row r="508" spans="4:10">
      <c r="D508" s="2"/>
      <c r="E508" s="2"/>
      <c r="F508" s="2"/>
      <c r="G508" s="2"/>
      <c r="H508" s="2"/>
      <c r="I508" s="2"/>
      <c r="J508" s="2"/>
    </row>
    <row r="509" spans="4:10">
      <c r="D509" s="2"/>
      <c r="E509" s="2"/>
      <c r="F509" s="2"/>
      <c r="G509" s="2"/>
      <c r="H509" s="2"/>
      <c r="I509" s="2"/>
      <c r="J509" s="2"/>
    </row>
    <row r="510" spans="4:10">
      <c r="D510" s="2"/>
      <c r="E510" s="2"/>
      <c r="F510" s="2"/>
      <c r="G510" s="2"/>
      <c r="H510" s="2"/>
      <c r="I510" s="2"/>
      <c r="J510" s="2"/>
    </row>
    <row r="511" spans="4:10">
      <c r="D511" s="2"/>
      <c r="E511" s="2"/>
      <c r="F511" s="2"/>
      <c r="G511" s="2"/>
      <c r="H511" s="2"/>
      <c r="I511" s="2"/>
      <c r="J511" s="2"/>
    </row>
    <row r="512" spans="4:10">
      <c r="D512" s="2"/>
      <c r="E512" s="2"/>
      <c r="F512" s="2"/>
      <c r="G512" s="2"/>
      <c r="H512" s="2"/>
      <c r="I512" s="2"/>
      <c r="J512" s="2"/>
    </row>
  </sheetData>
  <mergeCells count="74">
    <mergeCell ref="A2:A4"/>
    <mergeCell ref="E2:E4"/>
    <mergeCell ref="F2:I2"/>
    <mergeCell ref="J2:L2"/>
    <mergeCell ref="J3:J4"/>
    <mergeCell ref="C2:D4"/>
    <mergeCell ref="B2:B4"/>
    <mergeCell ref="E23:E25"/>
    <mergeCell ref="F23:I23"/>
    <mergeCell ref="J23:L23"/>
    <mergeCell ref="F24:F25"/>
    <mergeCell ref="G24:G25"/>
    <mergeCell ref="L26:L27"/>
    <mergeCell ref="A41:L41"/>
    <mergeCell ref="A42:A44"/>
    <mergeCell ref="E42:E44"/>
    <mergeCell ref="F42:I42"/>
    <mergeCell ref="J42:L42"/>
    <mergeCell ref="F43:F44"/>
    <mergeCell ref="G43:G44"/>
    <mergeCell ref="H43:I43"/>
    <mergeCell ref="E26:E27"/>
    <mergeCell ref="F26:F27"/>
    <mergeCell ref="H26:H27"/>
    <mergeCell ref="I26:I27"/>
    <mergeCell ref="J26:J27"/>
    <mergeCell ref="K26:K27"/>
    <mergeCell ref="A1:N1"/>
    <mergeCell ref="B23:B25"/>
    <mergeCell ref="C23:D25"/>
    <mergeCell ref="M23:N24"/>
    <mergeCell ref="M2:N3"/>
    <mergeCell ref="F3:F4"/>
    <mergeCell ref="G3:G4"/>
    <mergeCell ref="H3:I3"/>
    <mergeCell ref="K3:K4"/>
    <mergeCell ref="L3:L4"/>
    <mergeCell ref="H24:I24"/>
    <mergeCell ref="J24:J25"/>
    <mergeCell ref="K24:K25"/>
    <mergeCell ref="L24:L25"/>
    <mergeCell ref="A22:L22"/>
    <mergeCell ref="A23:A25"/>
    <mergeCell ref="M26:M27"/>
    <mergeCell ref="N26:N27"/>
    <mergeCell ref="B66:B68"/>
    <mergeCell ref="C66:D68"/>
    <mergeCell ref="M66:N67"/>
    <mergeCell ref="F67:F68"/>
    <mergeCell ref="G67:G68"/>
    <mergeCell ref="H67:I67"/>
    <mergeCell ref="J67:J68"/>
    <mergeCell ref="K67:K68"/>
    <mergeCell ref="L67:L68"/>
    <mergeCell ref="J43:J44"/>
    <mergeCell ref="K43:K44"/>
    <mergeCell ref="L43:L44"/>
    <mergeCell ref="A65:L65"/>
    <mergeCell ref="A66:A68"/>
    <mergeCell ref="L69:L71"/>
    <mergeCell ref="M69:M71"/>
    <mergeCell ref="N69:N71"/>
    <mergeCell ref="B42:B44"/>
    <mergeCell ref="C42:D44"/>
    <mergeCell ref="M42:N43"/>
    <mergeCell ref="E69:E71"/>
    <mergeCell ref="F69:F71"/>
    <mergeCell ref="H69:H71"/>
    <mergeCell ref="I69:I71"/>
    <mergeCell ref="J69:J71"/>
    <mergeCell ref="K69:K71"/>
    <mergeCell ref="E66:E68"/>
    <mergeCell ref="F66:I66"/>
    <mergeCell ref="J66:L66"/>
  </mergeCells>
  <pageMargins left="0.25" right="0" top="0.25" bottom="0" header="0.25" footer="0.2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619"/>
  <sheetViews>
    <sheetView topLeftCell="A583" zoomScale="130" zoomScaleNormal="130" workbookViewId="0">
      <selection activeCell="M575" sqref="M575:N576"/>
    </sheetView>
  </sheetViews>
  <sheetFormatPr defaultRowHeight="16.5"/>
  <cols>
    <col min="1" max="1" width="5.28515625" style="193" customWidth="1"/>
    <col min="2" max="2" width="13.85546875" style="193" customWidth="1"/>
    <col min="3" max="3" width="5.140625" style="193" customWidth="1"/>
    <col min="4" max="4" width="20.5703125" style="193" customWidth="1"/>
    <col min="5" max="5" width="7.85546875" style="193" customWidth="1"/>
    <col min="6" max="6" width="10.85546875" style="193" customWidth="1"/>
    <col min="7" max="7" width="9.7109375" style="193" customWidth="1"/>
    <col min="8" max="8" width="10.140625" style="193" customWidth="1"/>
    <col min="9" max="9" width="6.5703125" style="193" customWidth="1"/>
    <col min="10" max="10" width="11.42578125" style="193" customWidth="1"/>
    <col min="11" max="11" width="8.85546875" style="193" customWidth="1"/>
    <col min="12" max="12" width="11.42578125" style="193" customWidth="1"/>
    <col min="13" max="13" width="10.85546875" style="414" bestFit="1" customWidth="1"/>
    <col min="14" max="14" width="10.85546875" style="414" customWidth="1"/>
    <col min="15" max="16384" width="9.140625" style="193"/>
  </cols>
  <sheetData>
    <row r="1" spans="1:16" ht="24" customHeight="1">
      <c r="A1" s="734" t="s">
        <v>134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s="72" customFormat="1" ht="20.100000000000001" customHeight="1">
      <c r="A5" s="169"/>
      <c r="B5" s="169" t="s">
        <v>772</v>
      </c>
      <c r="C5" s="169">
        <v>1</v>
      </c>
      <c r="D5" s="170" t="s">
        <v>135</v>
      </c>
      <c r="E5" s="19">
        <v>34</v>
      </c>
      <c r="F5" s="205">
        <v>1</v>
      </c>
      <c r="G5" s="19" t="s">
        <v>136</v>
      </c>
      <c r="H5" s="19">
        <v>50</v>
      </c>
      <c r="I5" s="169">
        <v>1</v>
      </c>
      <c r="J5" s="180">
        <v>24</v>
      </c>
      <c r="K5" s="180">
        <v>4</v>
      </c>
      <c r="L5" s="180">
        <f>F5*18+10</f>
        <v>28</v>
      </c>
      <c r="M5" s="415">
        <v>0.56999999999999995</v>
      </c>
      <c r="N5" s="415">
        <f>M5*34.12</f>
        <v>19.448399999999996</v>
      </c>
      <c r="P5" s="142"/>
    </row>
    <row r="6" spans="1:16" s="72" customFormat="1" ht="20.100000000000001" customHeight="1">
      <c r="A6" s="171"/>
      <c r="B6" s="171" t="s">
        <v>773</v>
      </c>
      <c r="C6" s="171">
        <v>2</v>
      </c>
      <c r="D6" s="172" t="s">
        <v>137</v>
      </c>
      <c r="E6" s="25">
        <v>33</v>
      </c>
      <c r="F6" s="209">
        <v>1.5</v>
      </c>
      <c r="G6" s="173"/>
      <c r="H6" s="25">
        <v>50</v>
      </c>
      <c r="I6" s="171">
        <v>1</v>
      </c>
      <c r="J6" s="181">
        <v>31.5</v>
      </c>
      <c r="K6" s="181">
        <v>5.5</v>
      </c>
      <c r="L6" s="181">
        <f>F6*18+10</f>
        <v>37</v>
      </c>
      <c r="M6" s="416">
        <v>0.56999999999999995</v>
      </c>
      <c r="N6" s="416">
        <f t="shared" ref="N6:N24" si="0">M6*34.12</f>
        <v>19.448399999999996</v>
      </c>
      <c r="P6" s="142"/>
    </row>
    <row r="7" spans="1:16" s="72" customFormat="1" ht="20.100000000000001" customHeight="1">
      <c r="A7" s="171"/>
      <c r="B7" s="171"/>
      <c r="C7" s="171">
        <v>3</v>
      </c>
      <c r="D7" s="172" t="s">
        <v>138</v>
      </c>
      <c r="E7" s="25">
        <v>110</v>
      </c>
      <c r="F7" s="209">
        <v>1.7</v>
      </c>
      <c r="G7" s="173"/>
      <c r="H7" s="25">
        <v>100</v>
      </c>
      <c r="I7" s="171">
        <v>1</v>
      </c>
      <c r="J7" s="181">
        <v>35.5</v>
      </c>
      <c r="K7" s="181">
        <v>6.1</v>
      </c>
      <c r="L7" s="181">
        <f>F7*18+11</f>
        <v>41.599999999999994</v>
      </c>
      <c r="M7" s="416">
        <v>0.76</v>
      </c>
      <c r="N7" s="416">
        <f t="shared" si="0"/>
        <v>25.931199999999997</v>
      </c>
      <c r="P7" s="142"/>
    </row>
    <row r="8" spans="1:16" s="72" customFormat="1" ht="20.100000000000001" customHeight="1">
      <c r="A8" s="171"/>
      <c r="B8" s="171"/>
      <c r="C8" s="171">
        <v>4</v>
      </c>
      <c r="D8" s="172" t="s">
        <v>139</v>
      </c>
      <c r="E8" s="25">
        <v>84</v>
      </c>
      <c r="F8" s="209">
        <v>1.8</v>
      </c>
      <c r="G8" s="173"/>
      <c r="H8" s="25">
        <v>100</v>
      </c>
      <c r="I8" s="171">
        <v>1</v>
      </c>
      <c r="J8" s="181">
        <v>37</v>
      </c>
      <c r="K8" s="181">
        <v>6.4</v>
      </c>
      <c r="L8" s="181">
        <f>F8*18+11</f>
        <v>43.4</v>
      </c>
      <c r="M8" s="416">
        <v>0.76</v>
      </c>
      <c r="N8" s="416">
        <f t="shared" si="0"/>
        <v>25.931199999999997</v>
      </c>
      <c r="O8" s="144"/>
      <c r="P8" s="142"/>
    </row>
    <row r="9" spans="1:16" s="72" customFormat="1" ht="20.100000000000001" customHeight="1">
      <c r="A9" s="171"/>
      <c r="B9" s="171"/>
      <c r="C9" s="171">
        <v>5</v>
      </c>
      <c r="D9" s="172" t="s">
        <v>140</v>
      </c>
      <c r="E9" s="25">
        <v>74</v>
      </c>
      <c r="F9" s="209">
        <v>2</v>
      </c>
      <c r="G9" s="25"/>
      <c r="H9" s="25">
        <v>100</v>
      </c>
      <c r="I9" s="171">
        <v>1</v>
      </c>
      <c r="J9" s="181">
        <v>40</v>
      </c>
      <c r="K9" s="181">
        <v>7</v>
      </c>
      <c r="L9" s="181">
        <f>F9*18+11</f>
        <v>47</v>
      </c>
      <c r="M9" s="416">
        <v>0.76</v>
      </c>
      <c r="N9" s="416">
        <f t="shared" si="0"/>
        <v>25.931199999999997</v>
      </c>
      <c r="O9" s="144"/>
      <c r="P9" s="142"/>
    </row>
    <row r="10" spans="1:16" s="72" customFormat="1" ht="20.100000000000001" customHeight="1">
      <c r="A10" s="171"/>
      <c r="B10" s="171"/>
      <c r="C10" s="171">
        <v>6</v>
      </c>
      <c r="D10" s="172" t="s">
        <v>57</v>
      </c>
      <c r="E10" s="25">
        <v>38</v>
      </c>
      <c r="F10" s="209">
        <v>2</v>
      </c>
      <c r="G10" s="25"/>
      <c r="H10" s="25">
        <v>50</v>
      </c>
      <c r="I10" s="171">
        <v>1</v>
      </c>
      <c r="J10" s="181">
        <v>39</v>
      </c>
      <c r="K10" s="181">
        <v>7</v>
      </c>
      <c r="L10" s="181">
        <f>F10*18+10</f>
        <v>46</v>
      </c>
      <c r="M10" s="416">
        <v>0.56999999999999995</v>
      </c>
      <c r="N10" s="416">
        <f t="shared" si="0"/>
        <v>19.448399999999996</v>
      </c>
      <c r="O10" s="144"/>
      <c r="P10" s="142"/>
    </row>
    <row r="11" spans="1:16" s="72" customFormat="1" ht="20.100000000000001" customHeight="1">
      <c r="A11" s="171"/>
      <c r="B11" s="171"/>
      <c r="C11" s="171">
        <v>7</v>
      </c>
      <c r="D11" s="172" t="s">
        <v>141</v>
      </c>
      <c r="E11" s="25">
        <v>22</v>
      </c>
      <c r="F11" s="209">
        <v>0.5</v>
      </c>
      <c r="G11" s="173"/>
      <c r="H11" s="25">
        <v>50</v>
      </c>
      <c r="I11" s="171">
        <v>1</v>
      </c>
      <c r="J11" s="181">
        <v>16.5</v>
      </c>
      <c r="K11" s="181">
        <v>2.5</v>
      </c>
      <c r="L11" s="181">
        <f t="shared" ref="L11:L13" si="1">F11*18+10</f>
        <v>19</v>
      </c>
      <c r="M11" s="416">
        <v>0.56999999999999995</v>
      </c>
      <c r="N11" s="416">
        <f t="shared" si="0"/>
        <v>19.448399999999996</v>
      </c>
      <c r="P11" s="142"/>
    </row>
    <row r="12" spans="1:16" s="72" customFormat="1" ht="20.100000000000001" customHeight="1">
      <c r="A12" s="171"/>
      <c r="B12" s="171"/>
      <c r="C12" s="171">
        <v>8</v>
      </c>
      <c r="D12" s="172" t="s">
        <v>142</v>
      </c>
      <c r="E12" s="25">
        <v>11</v>
      </c>
      <c r="F12" s="209">
        <v>0.5</v>
      </c>
      <c r="G12" s="173"/>
      <c r="H12" s="25">
        <v>50</v>
      </c>
      <c r="I12" s="171">
        <v>1</v>
      </c>
      <c r="J12" s="181">
        <v>16.5</v>
      </c>
      <c r="K12" s="181">
        <v>2.5</v>
      </c>
      <c r="L12" s="181">
        <f t="shared" si="1"/>
        <v>19</v>
      </c>
      <c r="M12" s="416">
        <v>0.56999999999999995</v>
      </c>
      <c r="N12" s="416">
        <f t="shared" si="0"/>
        <v>19.448399999999996</v>
      </c>
      <c r="P12" s="142"/>
    </row>
    <row r="13" spans="1:16" s="72" customFormat="1" ht="20.100000000000001" customHeight="1">
      <c r="A13" s="171"/>
      <c r="B13" s="171"/>
      <c r="C13" s="171">
        <v>9</v>
      </c>
      <c r="D13" s="172" t="s">
        <v>143</v>
      </c>
      <c r="E13" s="25">
        <v>45</v>
      </c>
      <c r="F13" s="209">
        <v>0.5</v>
      </c>
      <c r="G13" s="173"/>
      <c r="H13" s="25">
        <v>50</v>
      </c>
      <c r="I13" s="171">
        <v>1</v>
      </c>
      <c r="J13" s="181">
        <v>16.5</v>
      </c>
      <c r="K13" s="181">
        <v>2.5</v>
      </c>
      <c r="L13" s="181">
        <f t="shared" si="1"/>
        <v>19</v>
      </c>
      <c r="M13" s="416">
        <v>0.56999999999999995</v>
      </c>
      <c r="N13" s="416">
        <f t="shared" si="0"/>
        <v>19.448399999999996</v>
      </c>
      <c r="P13" s="142"/>
    </row>
    <row r="14" spans="1:16" s="72" customFormat="1" ht="20.100000000000001" customHeight="1">
      <c r="A14" s="171"/>
      <c r="B14" s="171"/>
      <c r="C14" s="171">
        <v>10</v>
      </c>
      <c r="D14" s="172" t="s">
        <v>144</v>
      </c>
      <c r="E14" s="25">
        <v>80</v>
      </c>
      <c r="F14" s="209">
        <v>1</v>
      </c>
      <c r="G14" s="173"/>
      <c r="H14" s="25">
        <v>100</v>
      </c>
      <c r="I14" s="171">
        <v>1</v>
      </c>
      <c r="J14" s="181">
        <v>25</v>
      </c>
      <c r="K14" s="181">
        <v>4</v>
      </c>
      <c r="L14" s="181">
        <f>F14*18+11</f>
        <v>29</v>
      </c>
      <c r="M14" s="416">
        <v>0.76</v>
      </c>
      <c r="N14" s="416">
        <f t="shared" si="0"/>
        <v>25.931199999999997</v>
      </c>
      <c r="O14" s="144"/>
      <c r="P14" s="142"/>
    </row>
    <row r="15" spans="1:16" s="72" customFormat="1" ht="20.100000000000001" customHeight="1">
      <c r="A15" s="171"/>
      <c r="B15" s="171"/>
      <c r="C15" s="171">
        <v>11</v>
      </c>
      <c r="D15" s="172" t="s">
        <v>145</v>
      </c>
      <c r="E15" s="25">
        <v>155</v>
      </c>
      <c r="F15" s="209">
        <v>1.9</v>
      </c>
      <c r="G15" s="173"/>
      <c r="H15" s="25">
        <v>100</v>
      </c>
      <c r="I15" s="171">
        <v>1</v>
      </c>
      <c r="J15" s="181">
        <v>38.5</v>
      </c>
      <c r="K15" s="181">
        <v>6.7</v>
      </c>
      <c r="L15" s="181">
        <f t="shared" ref="L15" si="2">F15*18+11</f>
        <v>45.199999999999996</v>
      </c>
      <c r="M15" s="416">
        <v>0.76</v>
      </c>
      <c r="N15" s="416">
        <f t="shared" si="0"/>
        <v>25.931199999999997</v>
      </c>
      <c r="O15" s="144"/>
      <c r="P15" s="142"/>
    </row>
    <row r="16" spans="1:16" s="72" customFormat="1" ht="20.100000000000001" customHeight="1">
      <c r="A16" s="171"/>
      <c r="B16" s="171"/>
      <c r="C16" s="171">
        <v>12</v>
      </c>
      <c r="D16" s="172" t="s">
        <v>146</v>
      </c>
      <c r="E16" s="25">
        <v>68</v>
      </c>
      <c r="F16" s="209">
        <v>0.1</v>
      </c>
      <c r="G16" s="173"/>
      <c r="H16" s="25">
        <v>50</v>
      </c>
      <c r="I16" s="171">
        <v>1</v>
      </c>
      <c r="J16" s="181">
        <v>10.5</v>
      </c>
      <c r="K16" s="181">
        <v>1.3</v>
      </c>
      <c r="L16" s="181">
        <f>F16*18+10</f>
        <v>11.8</v>
      </c>
      <c r="M16" s="416">
        <v>0.56999999999999995</v>
      </c>
      <c r="N16" s="416">
        <f t="shared" si="0"/>
        <v>19.448399999999996</v>
      </c>
      <c r="O16" s="144"/>
      <c r="P16" s="142"/>
    </row>
    <row r="17" spans="1:16" s="72" customFormat="1" ht="20.100000000000001" customHeight="1">
      <c r="A17" s="171"/>
      <c r="B17" s="171"/>
      <c r="C17" s="171">
        <v>13</v>
      </c>
      <c r="D17" s="172" t="s">
        <v>147</v>
      </c>
      <c r="E17" s="25">
        <v>120</v>
      </c>
      <c r="F17" s="209">
        <v>2</v>
      </c>
      <c r="G17" s="25"/>
      <c r="H17" s="25">
        <v>100</v>
      </c>
      <c r="I17" s="171">
        <v>1</v>
      </c>
      <c r="J17" s="181">
        <v>40</v>
      </c>
      <c r="K17" s="181">
        <v>7</v>
      </c>
      <c r="L17" s="181">
        <f>F17*18+11</f>
        <v>47</v>
      </c>
      <c r="M17" s="416">
        <v>0.76</v>
      </c>
      <c r="N17" s="416">
        <f t="shared" si="0"/>
        <v>25.931199999999997</v>
      </c>
      <c r="O17" s="144"/>
      <c r="P17" s="142"/>
    </row>
    <row r="18" spans="1:16" s="72" customFormat="1" ht="20.100000000000001" customHeight="1">
      <c r="A18" s="171"/>
      <c r="B18" s="171"/>
      <c r="C18" s="171">
        <v>14</v>
      </c>
      <c r="D18" s="172" t="s">
        <v>148</v>
      </c>
      <c r="E18" s="25">
        <v>10</v>
      </c>
      <c r="F18" s="209">
        <v>1.5</v>
      </c>
      <c r="G18" s="173"/>
      <c r="H18" s="25">
        <v>50</v>
      </c>
      <c r="I18" s="171">
        <v>1</v>
      </c>
      <c r="J18" s="181">
        <v>31.5</v>
      </c>
      <c r="K18" s="181">
        <v>5.5</v>
      </c>
      <c r="L18" s="181">
        <f>F18*18+10</f>
        <v>37</v>
      </c>
      <c r="M18" s="416">
        <v>0.56999999999999995</v>
      </c>
      <c r="N18" s="416">
        <f t="shared" si="0"/>
        <v>19.448399999999996</v>
      </c>
      <c r="O18" s="144"/>
      <c r="P18" s="142"/>
    </row>
    <row r="19" spans="1:16" s="72" customFormat="1" ht="20.100000000000001" customHeight="1">
      <c r="A19" s="171"/>
      <c r="B19" s="171"/>
      <c r="C19" s="171">
        <v>15</v>
      </c>
      <c r="D19" s="172" t="s">
        <v>149</v>
      </c>
      <c r="E19" s="25">
        <v>7</v>
      </c>
      <c r="F19" s="209">
        <v>0.5</v>
      </c>
      <c r="G19" s="173"/>
      <c r="H19" s="25">
        <v>50</v>
      </c>
      <c r="I19" s="171">
        <v>1</v>
      </c>
      <c r="J19" s="181">
        <v>16.5</v>
      </c>
      <c r="K19" s="181">
        <v>2.5</v>
      </c>
      <c r="L19" s="181">
        <f t="shared" ref="L19:L24" si="3">F19*18+10</f>
        <v>19</v>
      </c>
      <c r="M19" s="416">
        <v>0.56999999999999995</v>
      </c>
      <c r="N19" s="416">
        <f t="shared" si="0"/>
        <v>19.448399999999996</v>
      </c>
      <c r="P19" s="142"/>
    </row>
    <row r="20" spans="1:16" s="72" customFormat="1" ht="20.100000000000001" customHeight="1">
      <c r="A20" s="171"/>
      <c r="B20" s="171"/>
      <c r="C20" s="171">
        <v>16</v>
      </c>
      <c r="D20" s="172" t="s">
        <v>150</v>
      </c>
      <c r="E20" s="25">
        <v>47</v>
      </c>
      <c r="F20" s="209">
        <v>0.1</v>
      </c>
      <c r="G20" s="173"/>
      <c r="H20" s="25">
        <v>50</v>
      </c>
      <c r="I20" s="171">
        <v>1</v>
      </c>
      <c r="J20" s="181">
        <v>10.5</v>
      </c>
      <c r="K20" s="181">
        <v>1.3</v>
      </c>
      <c r="L20" s="181">
        <f>F20*18+10</f>
        <v>11.8</v>
      </c>
      <c r="M20" s="416">
        <v>0.56999999999999995</v>
      </c>
      <c r="N20" s="416">
        <f t="shared" si="0"/>
        <v>19.448399999999996</v>
      </c>
      <c r="P20" s="142"/>
    </row>
    <row r="21" spans="1:16" s="72" customFormat="1" ht="20.100000000000001" customHeight="1">
      <c r="A21" s="171"/>
      <c r="B21" s="171"/>
      <c r="C21" s="171">
        <v>17</v>
      </c>
      <c r="D21" s="172" t="s">
        <v>151</v>
      </c>
      <c r="E21" s="25">
        <v>24</v>
      </c>
      <c r="F21" s="209">
        <v>2</v>
      </c>
      <c r="G21" s="25"/>
      <c r="H21" s="25">
        <v>50</v>
      </c>
      <c r="I21" s="171">
        <v>1</v>
      </c>
      <c r="J21" s="181">
        <v>39</v>
      </c>
      <c r="K21" s="181">
        <v>7</v>
      </c>
      <c r="L21" s="181">
        <f t="shared" si="3"/>
        <v>46</v>
      </c>
      <c r="M21" s="416">
        <v>0.56999999999999995</v>
      </c>
      <c r="N21" s="416">
        <f t="shared" si="0"/>
        <v>19.448399999999996</v>
      </c>
      <c r="P21" s="142"/>
    </row>
    <row r="22" spans="1:16" s="72" customFormat="1" ht="20.100000000000001" customHeight="1">
      <c r="A22" s="171"/>
      <c r="B22" s="171"/>
      <c r="C22" s="171">
        <v>18</v>
      </c>
      <c r="D22" s="172" t="s">
        <v>152</v>
      </c>
      <c r="E22" s="25">
        <v>74</v>
      </c>
      <c r="F22" s="209">
        <v>2</v>
      </c>
      <c r="G22" s="25"/>
      <c r="H22" s="25">
        <v>50</v>
      </c>
      <c r="I22" s="171">
        <v>1</v>
      </c>
      <c r="J22" s="181">
        <v>39</v>
      </c>
      <c r="K22" s="181">
        <v>7</v>
      </c>
      <c r="L22" s="181">
        <f t="shared" si="3"/>
        <v>46</v>
      </c>
      <c r="M22" s="416">
        <v>0.56999999999999995</v>
      </c>
      <c r="N22" s="416">
        <f t="shared" si="0"/>
        <v>19.448399999999996</v>
      </c>
      <c r="P22" s="142"/>
    </row>
    <row r="23" spans="1:16" s="72" customFormat="1" ht="20.100000000000001" customHeight="1">
      <c r="A23" s="171"/>
      <c r="B23" s="171"/>
      <c r="C23" s="171">
        <v>19</v>
      </c>
      <c r="D23" s="172" t="s">
        <v>153</v>
      </c>
      <c r="E23" s="25">
        <v>31</v>
      </c>
      <c r="F23" s="209">
        <v>1.85</v>
      </c>
      <c r="G23" s="174"/>
      <c r="H23" s="25">
        <v>50</v>
      </c>
      <c r="I23" s="171">
        <v>1</v>
      </c>
      <c r="J23" s="181">
        <v>36.75</v>
      </c>
      <c r="K23" s="181">
        <v>6.55</v>
      </c>
      <c r="L23" s="181">
        <f t="shared" si="3"/>
        <v>43.300000000000004</v>
      </c>
      <c r="M23" s="416">
        <v>0.56999999999999995</v>
      </c>
      <c r="N23" s="416">
        <f t="shared" si="0"/>
        <v>19.448399999999996</v>
      </c>
      <c r="O23" s="144"/>
      <c r="P23" s="142"/>
    </row>
    <row r="24" spans="1:16" s="72" customFormat="1" ht="20.100000000000001" customHeight="1">
      <c r="A24" s="175"/>
      <c r="B24" s="175"/>
      <c r="C24" s="175">
        <v>20</v>
      </c>
      <c r="D24" s="176" t="s">
        <v>154</v>
      </c>
      <c r="E24" s="32">
        <v>75</v>
      </c>
      <c r="F24" s="210">
        <v>1.83</v>
      </c>
      <c r="G24" s="177"/>
      <c r="H24" s="32">
        <v>50</v>
      </c>
      <c r="I24" s="175">
        <v>1</v>
      </c>
      <c r="J24" s="182">
        <v>36.450000000000003</v>
      </c>
      <c r="K24" s="182">
        <v>6.49</v>
      </c>
      <c r="L24" s="182">
        <f t="shared" si="3"/>
        <v>42.94</v>
      </c>
      <c r="M24" s="417">
        <v>0.56999999999999995</v>
      </c>
      <c r="N24" s="417">
        <f t="shared" si="0"/>
        <v>19.448399999999996</v>
      </c>
      <c r="O24" s="144"/>
      <c r="P24" s="142"/>
    </row>
    <row r="25" spans="1:16" s="5" customFormat="1" ht="24.75" customHeight="1">
      <c r="A25" s="186"/>
      <c r="B25" s="186" t="s">
        <v>759</v>
      </c>
      <c r="C25" s="186"/>
      <c r="D25" s="187" t="s">
        <v>774</v>
      </c>
      <c r="E25" s="189">
        <f>SUM(E5:E24)</f>
        <v>1142</v>
      </c>
      <c r="F25" s="190">
        <f>SUM(F5:F24)</f>
        <v>26.28</v>
      </c>
      <c r="G25" s="190"/>
      <c r="H25" s="189">
        <f>SUM(H5:H24)</f>
        <v>1300</v>
      </c>
      <c r="I25" s="191">
        <v>20</v>
      </c>
      <c r="J25" s="192">
        <f>SUM(J5:J24)</f>
        <v>580.20000000000005</v>
      </c>
      <c r="K25" s="192">
        <f>SUM(K5:K24)</f>
        <v>98.839999999999989</v>
      </c>
      <c r="L25" s="192">
        <f>SUM(L5:L24)</f>
        <v>679.04</v>
      </c>
      <c r="M25" s="418">
        <f t="shared" ref="M25:N25" si="4">SUM(M5:M24)</f>
        <v>12.540000000000003</v>
      </c>
      <c r="N25" s="418">
        <f t="shared" si="4"/>
        <v>427.86479999999989</v>
      </c>
      <c r="O25" s="3"/>
      <c r="P25" s="4"/>
    </row>
    <row r="26" spans="1:16" s="72" customFormat="1">
      <c r="A26" s="125"/>
      <c r="B26" s="125"/>
      <c r="C26" s="125"/>
      <c r="D26" s="125"/>
      <c r="E26" s="126"/>
      <c r="F26" s="127"/>
      <c r="G26" s="127"/>
      <c r="H26" s="126"/>
      <c r="I26" s="131"/>
      <c r="J26" s="128"/>
      <c r="K26" s="128"/>
      <c r="L26" s="126"/>
      <c r="M26" s="419"/>
      <c r="N26" s="419"/>
      <c r="O26" s="144"/>
      <c r="P26" s="142"/>
    </row>
    <row r="27" spans="1:16" s="72" customFormat="1">
      <c r="A27" s="125"/>
      <c r="B27" s="125"/>
      <c r="C27" s="125"/>
      <c r="D27" s="125"/>
      <c r="E27" s="126"/>
      <c r="F27" s="127"/>
      <c r="G27" s="127"/>
      <c r="H27" s="126"/>
      <c r="I27" s="131"/>
      <c r="J27" s="128"/>
      <c r="K27" s="128"/>
      <c r="L27" s="126"/>
      <c r="M27" s="419"/>
      <c r="N27" s="419"/>
      <c r="O27" s="144"/>
      <c r="P27" s="142"/>
    </row>
    <row r="28" spans="1:16" s="72" customFormat="1">
      <c r="A28" s="125"/>
      <c r="B28" s="125"/>
      <c r="C28" s="125"/>
      <c r="D28" s="125"/>
      <c r="E28" s="126"/>
      <c r="F28" s="127"/>
      <c r="G28" s="127"/>
      <c r="H28" s="126"/>
      <c r="I28" s="131"/>
      <c r="J28" s="128"/>
      <c r="K28" s="128"/>
      <c r="L28" s="126"/>
      <c r="M28" s="419"/>
      <c r="N28" s="419"/>
      <c r="O28" s="144"/>
      <c r="P28" s="142"/>
    </row>
    <row r="29" spans="1:16" s="72" customFormat="1" ht="29.25" customHeight="1">
      <c r="A29" s="125"/>
      <c r="B29" s="125"/>
      <c r="C29" s="125"/>
      <c r="D29" s="125"/>
      <c r="E29" s="126"/>
      <c r="F29" s="127"/>
      <c r="G29" s="127"/>
      <c r="H29" s="126"/>
      <c r="I29" s="131"/>
      <c r="J29" s="128"/>
      <c r="K29" s="128"/>
      <c r="L29" s="126"/>
      <c r="M29" s="419"/>
      <c r="N29" s="419"/>
      <c r="O29" s="144"/>
      <c r="P29" s="142"/>
    </row>
    <row r="30" spans="1:16" s="72" customFormat="1" ht="29.25" customHeight="1">
      <c r="A30" s="125"/>
      <c r="B30" s="125"/>
      <c r="C30" s="125"/>
      <c r="D30" s="125"/>
      <c r="E30" s="126"/>
      <c r="F30" s="127"/>
      <c r="G30" s="127"/>
      <c r="H30" s="126"/>
      <c r="I30" s="131"/>
      <c r="J30" s="128"/>
      <c r="K30" s="128"/>
      <c r="L30" s="126"/>
      <c r="M30" s="419"/>
      <c r="N30" s="419"/>
      <c r="O30" s="144"/>
      <c r="P30" s="142"/>
    </row>
    <row r="31" spans="1:16" s="72" customFormat="1" ht="29.25" customHeight="1">
      <c r="A31" s="125"/>
      <c r="B31" s="125"/>
      <c r="C31" s="125"/>
      <c r="D31" s="125"/>
      <c r="E31" s="126"/>
      <c r="F31" s="127"/>
      <c r="G31" s="127"/>
      <c r="H31" s="126"/>
      <c r="I31" s="131"/>
      <c r="J31" s="128"/>
      <c r="K31" s="128"/>
      <c r="L31" s="126"/>
      <c r="M31" s="419"/>
      <c r="N31" s="419"/>
      <c r="O31" s="144"/>
      <c r="P31" s="142"/>
    </row>
    <row r="32" spans="1:16" s="72" customFormat="1" ht="29.25" customHeight="1">
      <c r="A32" s="125"/>
      <c r="B32" s="125"/>
      <c r="C32" s="125"/>
      <c r="D32" s="125"/>
      <c r="E32" s="126"/>
      <c r="F32" s="127"/>
      <c r="G32" s="127"/>
      <c r="H32" s="126"/>
      <c r="I32" s="131"/>
      <c r="J32" s="128"/>
      <c r="K32" s="128"/>
      <c r="L32" s="126"/>
      <c r="M32" s="419"/>
      <c r="N32" s="419"/>
      <c r="O32" s="144"/>
      <c r="P32" s="142"/>
    </row>
    <row r="33" spans="1:16" s="72" customFormat="1" ht="29.25" customHeight="1">
      <c r="A33" s="125"/>
      <c r="B33" s="125"/>
      <c r="C33" s="125"/>
      <c r="D33" s="125"/>
      <c r="E33" s="126"/>
      <c r="F33" s="127"/>
      <c r="G33" s="127"/>
      <c r="H33" s="126"/>
      <c r="I33" s="131"/>
      <c r="J33" s="128"/>
      <c r="K33" s="128"/>
      <c r="L33" s="126"/>
      <c r="M33" s="419"/>
      <c r="N33" s="419"/>
      <c r="O33" s="144"/>
      <c r="P33" s="142"/>
    </row>
    <row r="34" spans="1:16" s="72" customFormat="1" ht="29.25" customHeight="1">
      <c r="A34" s="125"/>
      <c r="B34" s="125"/>
      <c r="C34" s="125"/>
      <c r="D34" s="125"/>
      <c r="E34" s="126"/>
      <c r="F34" s="127"/>
      <c r="G34" s="127"/>
      <c r="H34" s="126"/>
      <c r="I34" s="131"/>
      <c r="J34" s="128"/>
      <c r="K34" s="128"/>
      <c r="L34" s="126"/>
      <c r="M34" s="419"/>
      <c r="N34" s="419"/>
      <c r="O34" s="144"/>
      <c r="P34" s="142"/>
    </row>
    <row r="35" spans="1:16" s="72" customFormat="1" ht="29.25" customHeight="1">
      <c r="A35" s="125"/>
      <c r="B35" s="125"/>
      <c r="C35" s="125"/>
      <c r="D35" s="125"/>
      <c r="E35" s="126"/>
      <c r="F35" s="127"/>
      <c r="G35" s="127"/>
      <c r="H35" s="126"/>
      <c r="I35" s="131"/>
      <c r="J35" s="128"/>
      <c r="K35" s="128"/>
      <c r="L35" s="126"/>
      <c r="M35" s="419"/>
      <c r="N35" s="419"/>
      <c r="O35" s="144"/>
      <c r="P35" s="142"/>
    </row>
    <row r="36" spans="1:16" s="72" customFormat="1" ht="29.25" customHeight="1">
      <c r="A36" s="125"/>
      <c r="B36" s="125"/>
      <c r="C36" s="125"/>
      <c r="D36" s="125"/>
      <c r="E36" s="126"/>
      <c r="F36" s="127"/>
      <c r="G36" s="127"/>
      <c r="H36" s="126"/>
      <c r="I36" s="131"/>
      <c r="J36" s="128"/>
      <c r="K36" s="128"/>
      <c r="L36" s="126"/>
      <c r="M36" s="419"/>
      <c r="N36" s="419"/>
      <c r="O36" s="144"/>
      <c r="P36" s="142"/>
    </row>
    <row r="37" spans="1:16" s="72" customFormat="1" ht="29.25" customHeight="1">
      <c r="A37" s="125"/>
      <c r="B37" s="125"/>
      <c r="C37" s="125"/>
      <c r="D37" s="125"/>
      <c r="E37" s="126"/>
      <c r="F37" s="127"/>
      <c r="G37" s="127"/>
      <c r="H37" s="126"/>
      <c r="I37" s="131"/>
      <c r="J37" s="128"/>
      <c r="K37" s="128"/>
      <c r="L37" s="126"/>
      <c r="M37" s="419"/>
      <c r="N37" s="419"/>
      <c r="O37" s="144"/>
      <c r="P37" s="142"/>
    </row>
    <row r="38" spans="1:16" s="72" customFormat="1" ht="29.25" customHeight="1">
      <c r="A38" s="125"/>
      <c r="B38" s="125"/>
      <c r="C38" s="125"/>
      <c r="D38" s="125"/>
      <c r="E38" s="126"/>
      <c r="F38" s="127"/>
      <c r="G38" s="127"/>
      <c r="H38" s="126"/>
      <c r="I38" s="131"/>
      <c r="J38" s="128"/>
      <c r="K38" s="128"/>
      <c r="L38" s="126"/>
      <c r="M38" s="419"/>
      <c r="N38" s="419"/>
      <c r="O38" s="144"/>
      <c r="P38" s="142"/>
    </row>
    <row r="39" spans="1:16" s="72" customFormat="1" ht="29.25" customHeight="1">
      <c r="A39" s="125"/>
      <c r="B39" s="125"/>
      <c r="C39" s="125"/>
      <c r="D39" s="125"/>
      <c r="E39" s="126"/>
      <c r="F39" s="127"/>
      <c r="G39" s="127"/>
      <c r="H39" s="126"/>
      <c r="I39" s="131"/>
      <c r="J39" s="128"/>
      <c r="K39" s="128"/>
      <c r="L39" s="126"/>
      <c r="M39" s="419"/>
      <c r="N39" s="419"/>
      <c r="O39" s="144"/>
      <c r="P39" s="142"/>
    </row>
    <row r="40" spans="1:16" s="72" customFormat="1" ht="29.25" customHeight="1">
      <c r="A40" s="125"/>
      <c r="B40" s="125"/>
      <c r="C40" s="125"/>
      <c r="D40" s="125"/>
      <c r="E40" s="126"/>
      <c r="F40" s="127"/>
      <c r="G40" s="127"/>
      <c r="H40" s="126"/>
      <c r="I40" s="131"/>
      <c r="J40" s="128"/>
      <c r="K40" s="128"/>
      <c r="L40" s="126"/>
      <c r="M40" s="419"/>
      <c r="N40" s="419"/>
      <c r="O40" s="144"/>
      <c r="P40" s="142"/>
    </row>
    <row r="41" spans="1:16" s="72" customFormat="1" ht="29.25" customHeight="1">
      <c r="A41" s="125"/>
      <c r="B41" s="125"/>
      <c r="C41" s="125"/>
      <c r="D41" s="125"/>
      <c r="E41" s="126"/>
      <c r="F41" s="127"/>
      <c r="G41" s="127"/>
      <c r="H41" s="126"/>
      <c r="I41" s="131"/>
      <c r="J41" s="128"/>
      <c r="K41" s="128"/>
      <c r="L41" s="126"/>
      <c r="M41" s="419"/>
      <c r="N41" s="419"/>
      <c r="O41" s="144"/>
      <c r="P41" s="142"/>
    </row>
    <row r="42" spans="1:16" s="72" customFormat="1" ht="29.25" customHeight="1">
      <c r="A42" s="125"/>
      <c r="B42" s="125"/>
      <c r="C42" s="125"/>
      <c r="D42" s="125"/>
      <c r="E42" s="126"/>
      <c r="F42" s="127"/>
      <c r="G42" s="127"/>
      <c r="H42" s="126"/>
      <c r="I42" s="131"/>
      <c r="J42" s="128"/>
      <c r="K42" s="128"/>
      <c r="L42" s="126"/>
      <c r="M42" s="419"/>
      <c r="N42" s="419"/>
      <c r="O42" s="144"/>
      <c r="P42" s="142"/>
    </row>
    <row r="43" spans="1:16" s="72" customFormat="1" ht="29.25" customHeight="1">
      <c r="A43" s="125"/>
      <c r="B43" s="125"/>
      <c r="C43" s="125"/>
      <c r="D43" s="125"/>
      <c r="E43" s="126"/>
      <c r="F43" s="127"/>
      <c r="G43" s="127"/>
      <c r="H43" s="126"/>
      <c r="I43" s="131"/>
      <c r="J43" s="128"/>
      <c r="K43" s="128"/>
      <c r="L43" s="126"/>
      <c r="M43" s="419"/>
      <c r="N43" s="419"/>
      <c r="O43" s="144"/>
      <c r="P43" s="142"/>
    </row>
    <row r="44" spans="1:16" s="72" customFormat="1" ht="29.25" customHeight="1">
      <c r="A44" s="125"/>
      <c r="B44" s="125"/>
      <c r="C44" s="125"/>
      <c r="D44" s="125"/>
      <c r="E44" s="126"/>
      <c r="F44" s="127"/>
      <c r="G44" s="127"/>
      <c r="H44" s="126"/>
      <c r="I44" s="131"/>
      <c r="J44" s="128"/>
      <c r="K44" s="128"/>
      <c r="L44" s="126"/>
      <c r="M44" s="419"/>
      <c r="N44" s="419"/>
      <c r="O44" s="144"/>
      <c r="P44" s="142"/>
    </row>
    <row r="45" spans="1:16" s="72" customFormat="1" ht="29.25" customHeight="1">
      <c r="A45" s="125"/>
      <c r="B45" s="125"/>
      <c r="C45" s="125"/>
      <c r="D45" s="125"/>
      <c r="E45" s="126"/>
      <c r="F45" s="127"/>
      <c r="G45" s="127"/>
      <c r="H45" s="126"/>
      <c r="I45" s="131"/>
      <c r="J45" s="128"/>
      <c r="K45" s="128"/>
      <c r="L45" s="126"/>
      <c r="M45" s="419"/>
      <c r="N45" s="419"/>
      <c r="O45" s="144"/>
      <c r="P45" s="142"/>
    </row>
    <row r="46" spans="1:16" s="72" customFormat="1" ht="29.25" customHeight="1">
      <c r="A46" s="125"/>
      <c r="B46" s="125"/>
      <c r="C46" s="125"/>
      <c r="D46" s="125"/>
      <c r="E46" s="126"/>
      <c r="F46" s="127"/>
      <c r="G46" s="127"/>
      <c r="H46" s="126"/>
      <c r="I46" s="131"/>
      <c r="J46" s="128"/>
      <c r="K46" s="128"/>
      <c r="L46" s="126"/>
      <c r="M46" s="419"/>
      <c r="N46" s="419"/>
      <c r="O46" s="144"/>
      <c r="P46" s="142"/>
    </row>
    <row r="47" spans="1:16" ht="24.75" customHeight="1">
      <c r="A47" s="695" t="s">
        <v>155</v>
      </c>
      <c r="B47" s="695"/>
      <c r="C47" s="695"/>
      <c r="D47" s="695"/>
      <c r="E47" s="695"/>
      <c r="F47" s="695"/>
      <c r="G47" s="695"/>
      <c r="H47" s="695"/>
      <c r="I47" s="695"/>
      <c r="J47" s="695"/>
      <c r="K47" s="695"/>
      <c r="L47" s="695"/>
    </row>
    <row r="48" spans="1:16" s="5" customFormat="1" ht="27.75" customHeight="1">
      <c r="A48" s="654" t="s">
        <v>1</v>
      </c>
      <c r="B48" s="632" t="s">
        <v>755</v>
      </c>
      <c r="C48" s="646" t="s">
        <v>21</v>
      </c>
      <c r="D48" s="647"/>
      <c r="E48" s="652" t="s">
        <v>756</v>
      </c>
      <c r="F48" s="654" t="s">
        <v>3</v>
      </c>
      <c r="G48" s="654"/>
      <c r="H48" s="654"/>
      <c r="I48" s="654"/>
      <c r="J48" s="654" t="s">
        <v>761</v>
      </c>
      <c r="K48" s="654"/>
      <c r="L48" s="654"/>
      <c r="M48" s="644" t="s">
        <v>857</v>
      </c>
      <c r="N48" s="644"/>
    </row>
    <row r="49" spans="1:19" s="5" customFormat="1" ht="40.5" customHeight="1">
      <c r="A49" s="654"/>
      <c r="B49" s="633"/>
      <c r="C49" s="648"/>
      <c r="D49" s="649"/>
      <c r="E49" s="652"/>
      <c r="F49" s="652" t="s">
        <v>757</v>
      </c>
      <c r="G49" s="652" t="s">
        <v>5</v>
      </c>
      <c r="H49" s="652" t="s">
        <v>6</v>
      </c>
      <c r="I49" s="652"/>
      <c r="J49" s="652" t="s">
        <v>22</v>
      </c>
      <c r="K49" s="652" t="s">
        <v>762</v>
      </c>
      <c r="L49" s="654" t="s">
        <v>8</v>
      </c>
      <c r="M49" s="644"/>
      <c r="N49" s="644"/>
    </row>
    <row r="50" spans="1:19" s="5" customFormat="1" ht="58.5" customHeight="1">
      <c r="A50" s="632"/>
      <c r="B50" s="634"/>
      <c r="C50" s="650"/>
      <c r="D50" s="651"/>
      <c r="E50" s="653"/>
      <c r="F50" s="653"/>
      <c r="G50" s="653"/>
      <c r="H50" s="381" t="s">
        <v>9</v>
      </c>
      <c r="I50" s="381" t="s">
        <v>10</v>
      </c>
      <c r="J50" s="653"/>
      <c r="K50" s="632"/>
      <c r="L50" s="632"/>
      <c r="M50" s="382" t="s">
        <v>753</v>
      </c>
      <c r="N50" s="383" t="s">
        <v>754</v>
      </c>
    </row>
    <row r="51" spans="1:19" s="72" customFormat="1" ht="33.950000000000003" customHeight="1">
      <c r="A51" s="169"/>
      <c r="B51" s="169" t="s">
        <v>772</v>
      </c>
      <c r="C51" s="169">
        <v>1</v>
      </c>
      <c r="D51" s="204" t="s">
        <v>156</v>
      </c>
      <c r="E51" s="19">
        <v>853</v>
      </c>
      <c r="F51" s="205">
        <v>1.8</v>
      </c>
      <c r="G51" s="205"/>
      <c r="H51" s="19">
        <v>200</v>
      </c>
      <c r="I51" s="19">
        <v>1</v>
      </c>
      <c r="J51" s="17">
        <v>38.5</v>
      </c>
      <c r="K51" s="17">
        <v>6.4</v>
      </c>
      <c r="L51" s="17">
        <f>F51*18+12.5</f>
        <v>44.9</v>
      </c>
      <c r="M51" s="415">
        <v>1</v>
      </c>
      <c r="N51" s="415">
        <f>M51*34.12</f>
        <v>34.119999999999997</v>
      </c>
      <c r="O51" s="144"/>
      <c r="P51" s="142"/>
    </row>
    <row r="52" spans="1:19" s="72" customFormat="1" ht="33.950000000000003" customHeight="1">
      <c r="A52" s="171"/>
      <c r="B52" s="171" t="s">
        <v>775</v>
      </c>
      <c r="C52" s="171">
        <v>2</v>
      </c>
      <c r="D52" s="172" t="s">
        <v>157</v>
      </c>
      <c r="E52" s="25">
        <v>69</v>
      </c>
      <c r="F52" s="88">
        <v>1</v>
      </c>
      <c r="G52" s="206"/>
      <c r="H52" s="87">
        <v>100</v>
      </c>
      <c r="I52" s="25">
        <v>1</v>
      </c>
      <c r="J52" s="110">
        <v>25</v>
      </c>
      <c r="K52" s="110">
        <v>4</v>
      </c>
      <c r="L52" s="110">
        <f>F52*18+11</f>
        <v>29</v>
      </c>
      <c r="M52" s="416">
        <v>0.76</v>
      </c>
      <c r="N52" s="416">
        <f>M52*34.12</f>
        <v>25.931199999999997</v>
      </c>
      <c r="O52" s="144"/>
      <c r="P52" s="142"/>
    </row>
    <row r="53" spans="1:19" s="72" customFormat="1" ht="33.950000000000003" customHeight="1">
      <c r="A53" s="171"/>
      <c r="B53" s="171"/>
      <c r="C53" s="171">
        <v>3</v>
      </c>
      <c r="D53" s="172" t="s">
        <v>158</v>
      </c>
      <c r="E53" s="25">
        <v>302</v>
      </c>
      <c r="F53" s="209">
        <v>1.1000000000000001</v>
      </c>
      <c r="G53" s="173"/>
      <c r="H53" s="25">
        <v>200</v>
      </c>
      <c r="I53" s="25">
        <v>1</v>
      </c>
      <c r="J53" s="23">
        <v>28</v>
      </c>
      <c r="K53" s="23">
        <v>4.3</v>
      </c>
      <c r="L53" s="23">
        <f>F53*18+12.5</f>
        <v>32.299999999999997</v>
      </c>
      <c r="M53" s="416">
        <v>1</v>
      </c>
      <c r="N53" s="416">
        <f>M53*34.12</f>
        <v>34.119999999999997</v>
      </c>
      <c r="O53" s="144"/>
      <c r="P53" s="142"/>
    </row>
    <row r="54" spans="1:19" s="72" customFormat="1" ht="33.950000000000003" customHeight="1">
      <c r="A54" s="171"/>
      <c r="B54" s="171"/>
      <c r="C54" s="171">
        <v>4</v>
      </c>
      <c r="D54" s="172" t="s">
        <v>106</v>
      </c>
      <c r="E54" s="25">
        <v>90</v>
      </c>
      <c r="F54" s="708">
        <v>1.5</v>
      </c>
      <c r="G54" s="726"/>
      <c r="H54" s="710">
        <v>200</v>
      </c>
      <c r="I54" s="710">
        <v>1</v>
      </c>
      <c r="J54" s="730">
        <v>34</v>
      </c>
      <c r="K54" s="730">
        <v>5.5</v>
      </c>
      <c r="L54" s="730">
        <f>F54*18+12.5</f>
        <v>39.5</v>
      </c>
      <c r="M54" s="692">
        <v>1</v>
      </c>
      <c r="N54" s="692">
        <f>M54*34.12</f>
        <v>34.119999999999997</v>
      </c>
      <c r="O54" s="144"/>
      <c r="P54" s="142"/>
    </row>
    <row r="55" spans="1:19" s="72" customFormat="1" ht="33.950000000000003" customHeight="1">
      <c r="A55" s="171"/>
      <c r="B55" s="171"/>
      <c r="C55" s="171">
        <v>5</v>
      </c>
      <c r="D55" s="172" t="s">
        <v>159</v>
      </c>
      <c r="E55" s="25">
        <v>100</v>
      </c>
      <c r="F55" s="708"/>
      <c r="G55" s="726"/>
      <c r="H55" s="710"/>
      <c r="I55" s="710"/>
      <c r="J55" s="730"/>
      <c r="K55" s="730"/>
      <c r="L55" s="730"/>
      <c r="M55" s="692"/>
      <c r="N55" s="692"/>
      <c r="O55" s="144"/>
      <c r="P55" s="142"/>
      <c r="Q55" s="193"/>
      <c r="R55" s="193"/>
      <c r="S55" s="193"/>
    </row>
    <row r="56" spans="1:19" s="72" customFormat="1" ht="33.950000000000003" customHeight="1">
      <c r="A56" s="171"/>
      <c r="B56" s="171"/>
      <c r="C56" s="171">
        <v>6</v>
      </c>
      <c r="D56" s="172" t="s">
        <v>160</v>
      </c>
      <c r="E56" s="25">
        <v>108</v>
      </c>
      <c r="F56" s="708">
        <v>0.85</v>
      </c>
      <c r="G56" s="708"/>
      <c r="H56" s="710">
        <v>160</v>
      </c>
      <c r="I56" s="710">
        <v>1</v>
      </c>
      <c r="J56" s="730">
        <v>23.75</v>
      </c>
      <c r="K56" s="730">
        <v>3.55</v>
      </c>
      <c r="L56" s="730">
        <f>F56*18+12</f>
        <v>27.299999999999997</v>
      </c>
      <c r="M56" s="692">
        <v>0.8</v>
      </c>
      <c r="N56" s="692">
        <f>M56*34.12</f>
        <v>27.295999999999999</v>
      </c>
      <c r="O56" s="144"/>
      <c r="P56" s="142"/>
    </row>
    <row r="57" spans="1:19" s="72" customFormat="1" ht="33.950000000000003" customHeight="1">
      <c r="A57" s="171"/>
      <c r="B57" s="171"/>
      <c r="C57" s="171">
        <v>7</v>
      </c>
      <c r="D57" s="172" t="s">
        <v>161</v>
      </c>
      <c r="E57" s="25">
        <v>58</v>
      </c>
      <c r="F57" s="708"/>
      <c r="G57" s="708"/>
      <c r="H57" s="710"/>
      <c r="I57" s="710"/>
      <c r="J57" s="730"/>
      <c r="K57" s="730"/>
      <c r="L57" s="730"/>
      <c r="M57" s="692"/>
      <c r="N57" s="692"/>
      <c r="O57" s="144"/>
      <c r="P57" s="142"/>
    </row>
    <row r="58" spans="1:19" s="72" customFormat="1" ht="33.950000000000003" customHeight="1">
      <c r="A58" s="171"/>
      <c r="B58" s="171"/>
      <c r="C58" s="171">
        <v>8</v>
      </c>
      <c r="D58" s="172" t="s">
        <v>162</v>
      </c>
      <c r="E58" s="25">
        <v>113</v>
      </c>
      <c r="F58" s="209">
        <v>0.75</v>
      </c>
      <c r="G58" s="174"/>
      <c r="H58" s="25">
        <v>100</v>
      </c>
      <c r="I58" s="25">
        <v>1</v>
      </c>
      <c r="J58" s="23">
        <v>21.25</v>
      </c>
      <c r="K58" s="23">
        <v>3.25</v>
      </c>
      <c r="L58" s="23">
        <f>F58*18+11</f>
        <v>24.5</v>
      </c>
      <c r="M58" s="416">
        <v>0.76</v>
      </c>
      <c r="N58" s="416">
        <f>M58*34.12</f>
        <v>25.931199999999997</v>
      </c>
      <c r="O58" s="144"/>
      <c r="P58" s="142"/>
    </row>
    <row r="59" spans="1:19" s="72" customFormat="1" ht="33.950000000000003" customHeight="1">
      <c r="A59" s="171"/>
      <c r="B59" s="171"/>
      <c r="C59" s="171">
        <v>9</v>
      </c>
      <c r="D59" s="172" t="s">
        <v>163</v>
      </c>
      <c r="E59" s="25">
        <v>25</v>
      </c>
      <c r="F59" s="708">
        <v>0.6</v>
      </c>
      <c r="G59" s="731"/>
      <c r="H59" s="710">
        <v>50</v>
      </c>
      <c r="I59" s="710">
        <v>1</v>
      </c>
      <c r="J59" s="730">
        <v>18</v>
      </c>
      <c r="K59" s="730">
        <v>2.8</v>
      </c>
      <c r="L59" s="730">
        <f>F59*18+10</f>
        <v>20.799999999999997</v>
      </c>
      <c r="M59" s="692">
        <v>0.56999999999999995</v>
      </c>
      <c r="N59" s="692">
        <f>M59*34.12</f>
        <v>19.448399999999996</v>
      </c>
      <c r="O59" s="144"/>
      <c r="P59" s="142"/>
    </row>
    <row r="60" spans="1:19" s="72" customFormat="1" ht="33.950000000000003" customHeight="1">
      <c r="A60" s="175"/>
      <c r="B60" s="175"/>
      <c r="C60" s="175">
        <v>10</v>
      </c>
      <c r="D60" s="176" t="s">
        <v>164</v>
      </c>
      <c r="E60" s="32">
        <v>28</v>
      </c>
      <c r="F60" s="709"/>
      <c r="G60" s="732"/>
      <c r="H60" s="711"/>
      <c r="I60" s="711"/>
      <c r="J60" s="733"/>
      <c r="K60" s="733"/>
      <c r="L60" s="733"/>
      <c r="M60" s="706"/>
      <c r="N60" s="706"/>
      <c r="O60" s="144"/>
      <c r="P60" s="142"/>
    </row>
    <row r="61" spans="1:19" s="5" customFormat="1" ht="27" customHeight="1">
      <c r="A61" s="186"/>
      <c r="B61" s="186" t="s">
        <v>759</v>
      </c>
      <c r="C61" s="186"/>
      <c r="D61" s="187" t="s">
        <v>777</v>
      </c>
      <c r="E61" s="66">
        <f>SUM(E51:E60)</f>
        <v>1746</v>
      </c>
      <c r="F61" s="220">
        <f>SUM(F51:F60)</f>
        <v>7.6</v>
      </c>
      <c r="G61" s="220"/>
      <c r="H61" s="220">
        <f>SUM(H51:H60)</f>
        <v>1010</v>
      </c>
      <c r="I61" s="221">
        <f>SUM(I51:I60)</f>
        <v>7</v>
      </c>
      <c r="J61" s="222">
        <f>SUM(J51:J60)</f>
        <v>188.5</v>
      </c>
      <c r="K61" s="222">
        <f>SUM(K51:K60)</f>
        <v>29.8</v>
      </c>
      <c r="L61" s="222">
        <f>SUM(L51:L60)</f>
        <v>218.3</v>
      </c>
      <c r="M61" s="420">
        <f t="shared" ref="M61:N61" si="5">SUM(M51:M60)</f>
        <v>5.89</v>
      </c>
      <c r="N61" s="420">
        <f t="shared" si="5"/>
        <v>200.96679999999998</v>
      </c>
      <c r="O61" s="3"/>
      <c r="P61" s="4"/>
    </row>
    <row r="62" spans="1:19" s="5" customFormat="1" ht="27" customHeight="1">
      <c r="A62" s="186"/>
      <c r="B62" s="186" t="s">
        <v>759</v>
      </c>
      <c r="C62" s="186"/>
      <c r="D62" s="187" t="s">
        <v>776</v>
      </c>
      <c r="E62" s="66">
        <f>E61+E25</f>
        <v>2888</v>
      </c>
      <c r="F62" s="220">
        <f>F61+F25</f>
        <v>33.880000000000003</v>
      </c>
      <c r="G62" s="220"/>
      <c r="H62" s="220">
        <f>H61+H25</f>
        <v>2310</v>
      </c>
      <c r="I62" s="221">
        <f>I61+I25</f>
        <v>27</v>
      </c>
      <c r="J62" s="222">
        <f>J61+J25</f>
        <v>768.7</v>
      </c>
      <c r="K62" s="222">
        <f>K61+K25</f>
        <v>128.63999999999999</v>
      </c>
      <c r="L62" s="222">
        <f>K62+J62</f>
        <v>897.34</v>
      </c>
      <c r="M62" s="420">
        <f t="shared" ref="M62:N62" si="6">L62+K62</f>
        <v>1025.98</v>
      </c>
      <c r="N62" s="420">
        <f t="shared" si="6"/>
        <v>1923.3200000000002</v>
      </c>
      <c r="O62" s="3"/>
      <c r="P62" s="4"/>
    </row>
    <row r="63" spans="1:19" s="72" customFormat="1">
      <c r="A63" s="125"/>
      <c r="B63" s="125"/>
      <c r="C63" s="125"/>
      <c r="D63" s="125"/>
      <c r="E63" s="126"/>
      <c r="F63" s="129"/>
      <c r="G63" s="129"/>
      <c r="H63" s="129"/>
      <c r="J63" s="128"/>
      <c r="K63" s="128"/>
      <c r="L63" s="128"/>
      <c r="M63" s="419"/>
      <c r="N63" s="419"/>
      <c r="O63" s="144"/>
      <c r="P63" s="142"/>
    </row>
    <row r="64" spans="1:19" s="72" customFormat="1">
      <c r="A64" s="125"/>
      <c r="B64" s="125"/>
      <c r="C64" s="125"/>
      <c r="D64" s="125"/>
      <c r="E64" s="126"/>
      <c r="F64" s="129"/>
      <c r="G64" s="129"/>
      <c r="H64" s="129"/>
      <c r="J64" s="128"/>
      <c r="K64" s="128"/>
      <c r="L64" s="128"/>
      <c r="M64" s="419"/>
      <c r="N64" s="419"/>
      <c r="O64" s="144"/>
      <c r="P64" s="142"/>
    </row>
    <row r="65" spans="1:16">
      <c r="A65" s="695" t="s">
        <v>165</v>
      </c>
      <c r="B65" s="695"/>
      <c r="C65" s="695"/>
      <c r="D65" s="695"/>
      <c r="E65" s="695"/>
      <c r="F65" s="695"/>
      <c r="G65" s="695"/>
      <c r="H65" s="695"/>
      <c r="I65" s="695"/>
      <c r="J65" s="695"/>
      <c r="K65" s="695"/>
      <c r="L65" s="695"/>
    </row>
    <row r="66" spans="1:16" s="5" customFormat="1" ht="27.75" customHeight="1">
      <c r="A66" s="654" t="s">
        <v>1</v>
      </c>
      <c r="B66" s="632" t="s">
        <v>755</v>
      </c>
      <c r="C66" s="646" t="s">
        <v>21</v>
      </c>
      <c r="D66" s="647"/>
      <c r="E66" s="652" t="s">
        <v>756</v>
      </c>
      <c r="F66" s="654" t="s">
        <v>3</v>
      </c>
      <c r="G66" s="654"/>
      <c r="H66" s="654"/>
      <c r="I66" s="654"/>
      <c r="J66" s="654" t="s">
        <v>761</v>
      </c>
      <c r="K66" s="654"/>
      <c r="L66" s="654"/>
      <c r="M66" s="644" t="s">
        <v>857</v>
      </c>
      <c r="N66" s="644"/>
    </row>
    <row r="67" spans="1:16" s="5" customFormat="1" ht="40.5" customHeight="1">
      <c r="A67" s="654"/>
      <c r="B67" s="633"/>
      <c r="C67" s="648"/>
      <c r="D67" s="649"/>
      <c r="E67" s="652"/>
      <c r="F67" s="652" t="s">
        <v>757</v>
      </c>
      <c r="G67" s="652" t="s">
        <v>5</v>
      </c>
      <c r="H67" s="652" t="s">
        <v>6</v>
      </c>
      <c r="I67" s="652"/>
      <c r="J67" s="652" t="s">
        <v>22</v>
      </c>
      <c r="K67" s="652" t="s">
        <v>762</v>
      </c>
      <c r="L67" s="654" t="s">
        <v>8</v>
      </c>
      <c r="M67" s="644"/>
      <c r="N67" s="644"/>
    </row>
    <row r="68" spans="1:16" s="5" customFormat="1" ht="58.5" customHeight="1">
      <c r="A68" s="632"/>
      <c r="B68" s="634"/>
      <c r="C68" s="650"/>
      <c r="D68" s="651"/>
      <c r="E68" s="653"/>
      <c r="F68" s="653"/>
      <c r="G68" s="653"/>
      <c r="H68" s="381" t="s">
        <v>9</v>
      </c>
      <c r="I68" s="381" t="s">
        <v>10</v>
      </c>
      <c r="J68" s="653"/>
      <c r="K68" s="632"/>
      <c r="L68" s="632"/>
      <c r="M68" s="382" t="s">
        <v>753</v>
      </c>
      <c r="N68" s="383" t="s">
        <v>754</v>
      </c>
    </row>
    <row r="69" spans="1:16" s="72" customFormat="1" ht="21.95" customHeight="1">
      <c r="A69" s="169"/>
      <c r="B69" s="169" t="s">
        <v>13</v>
      </c>
      <c r="C69" s="169">
        <v>1</v>
      </c>
      <c r="D69" s="170" t="s">
        <v>166</v>
      </c>
      <c r="E69" s="19">
        <v>63</v>
      </c>
      <c r="F69" s="205">
        <v>1.4</v>
      </c>
      <c r="G69" s="223"/>
      <c r="H69" s="19">
        <v>50</v>
      </c>
      <c r="I69" s="169">
        <v>1</v>
      </c>
      <c r="J69" s="17">
        <v>30</v>
      </c>
      <c r="K69" s="17">
        <v>5.2</v>
      </c>
      <c r="L69" s="17">
        <f>F69*18+10</f>
        <v>35.200000000000003</v>
      </c>
      <c r="M69" s="421">
        <v>0.56999999999999995</v>
      </c>
      <c r="N69" s="421">
        <f>M69*34.12</f>
        <v>19.448399999999996</v>
      </c>
      <c r="O69" s="144"/>
      <c r="P69" s="142"/>
    </row>
    <row r="70" spans="1:16" s="72" customFormat="1" ht="21.95" customHeight="1">
      <c r="A70" s="171"/>
      <c r="B70" s="171" t="s">
        <v>778</v>
      </c>
      <c r="C70" s="171">
        <v>2</v>
      </c>
      <c r="D70" s="172" t="s">
        <v>167</v>
      </c>
      <c r="E70" s="25">
        <v>158</v>
      </c>
      <c r="F70" s="209">
        <v>0.75</v>
      </c>
      <c r="G70" s="174"/>
      <c r="H70" s="25">
        <v>100</v>
      </c>
      <c r="I70" s="171">
        <v>1</v>
      </c>
      <c r="J70" s="23">
        <v>21.25</v>
      </c>
      <c r="K70" s="23">
        <v>3.25</v>
      </c>
      <c r="L70" s="23">
        <v>24.6</v>
      </c>
      <c r="M70" s="422">
        <v>0.76</v>
      </c>
      <c r="N70" s="421">
        <f t="shared" ref="N70:N85" si="7">M70*34.12</f>
        <v>25.931199999999997</v>
      </c>
      <c r="O70" s="144"/>
      <c r="P70" s="142"/>
    </row>
    <row r="71" spans="1:16" s="72" customFormat="1" ht="21.95" customHeight="1">
      <c r="A71" s="171"/>
      <c r="B71" s="171"/>
      <c r="C71" s="171">
        <v>3</v>
      </c>
      <c r="D71" s="172" t="s">
        <v>168</v>
      </c>
      <c r="E71" s="25">
        <v>296</v>
      </c>
      <c r="F71" s="209">
        <v>2</v>
      </c>
      <c r="G71" s="25"/>
      <c r="H71" s="25">
        <v>100</v>
      </c>
      <c r="I71" s="171">
        <v>1</v>
      </c>
      <c r="J71" s="23">
        <v>40</v>
      </c>
      <c r="K71" s="23">
        <v>7</v>
      </c>
      <c r="L71" s="23">
        <f t="shared" ref="L71" si="8">F71*18+11</f>
        <v>47</v>
      </c>
      <c r="M71" s="422">
        <v>0.76</v>
      </c>
      <c r="N71" s="421">
        <f t="shared" si="7"/>
        <v>25.931199999999997</v>
      </c>
      <c r="O71" s="144"/>
      <c r="P71" s="142"/>
    </row>
    <row r="72" spans="1:16" s="72" customFormat="1" ht="21.95" customHeight="1">
      <c r="A72" s="171"/>
      <c r="B72" s="171"/>
      <c r="C72" s="171">
        <v>4</v>
      </c>
      <c r="D72" s="172" t="s">
        <v>169</v>
      </c>
      <c r="E72" s="25">
        <v>70</v>
      </c>
      <c r="F72" s="209">
        <v>0.6</v>
      </c>
      <c r="G72" s="173"/>
      <c r="H72" s="25">
        <v>50</v>
      </c>
      <c r="I72" s="171">
        <v>1</v>
      </c>
      <c r="J72" s="23">
        <v>18</v>
      </c>
      <c r="K72" s="23">
        <v>2.8</v>
      </c>
      <c r="L72" s="23">
        <f>F72*18+10</f>
        <v>20.799999999999997</v>
      </c>
      <c r="M72" s="422">
        <v>0.56999999999999995</v>
      </c>
      <c r="N72" s="421">
        <f t="shared" si="7"/>
        <v>19.448399999999996</v>
      </c>
      <c r="O72" s="144"/>
      <c r="P72" s="142"/>
    </row>
    <row r="73" spans="1:16" s="72" customFormat="1" ht="21.95" customHeight="1">
      <c r="A73" s="171"/>
      <c r="B73" s="171"/>
      <c r="C73" s="171">
        <v>5</v>
      </c>
      <c r="D73" s="172" t="s">
        <v>170</v>
      </c>
      <c r="E73" s="25">
        <v>66</v>
      </c>
      <c r="F73" s="209">
        <v>0.2</v>
      </c>
      <c r="G73" s="173"/>
      <c r="H73" s="25">
        <v>50</v>
      </c>
      <c r="I73" s="171">
        <v>1</v>
      </c>
      <c r="J73" s="23">
        <v>12</v>
      </c>
      <c r="K73" s="23">
        <v>1.6</v>
      </c>
      <c r="L73" s="23">
        <f t="shared" ref="L73:L81" si="9">F73*18+10</f>
        <v>13.6</v>
      </c>
      <c r="M73" s="422">
        <v>0.56999999999999995</v>
      </c>
      <c r="N73" s="421">
        <f t="shared" si="7"/>
        <v>19.448399999999996</v>
      </c>
    </row>
    <row r="74" spans="1:16" s="72" customFormat="1" ht="21.95" customHeight="1">
      <c r="A74" s="171"/>
      <c r="B74" s="171"/>
      <c r="C74" s="171">
        <v>6</v>
      </c>
      <c r="D74" s="172" t="s">
        <v>171</v>
      </c>
      <c r="E74" s="25">
        <v>54</v>
      </c>
      <c r="F74" s="209">
        <v>0.56000000000000005</v>
      </c>
      <c r="G74" s="174"/>
      <c r="H74" s="25">
        <v>50</v>
      </c>
      <c r="I74" s="171">
        <v>1</v>
      </c>
      <c r="J74" s="23">
        <v>17.399999999999999</v>
      </c>
      <c r="K74" s="23">
        <v>2.7</v>
      </c>
      <c r="L74" s="23">
        <f>K74+J74</f>
        <v>20.099999999999998</v>
      </c>
      <c r="M74" s="422">
        <v>0.56999999999999995</v>
      </c>
      <c r="N74" s="421">
        <f t="shared" si="7"/>
        <v>19.448399999999996</v>
      </c>
    </row>
    <row r="75" spans="1:16" s="72" customFormat="1" ht="21.95" customHeight="1">
      <c r="A75" s="171"/>
      <c r="B75" s="171"/>
      <c r="C75" s="171">
        <v>7</v>
      </c>
      <c r="D75" s="172" t="s">
        <v>172</v>
      </c>
      <c r="E75" s="25">
        <v>60</v>
      </c>
      <c r="F75" s="209">
        <v>0.02</v>
      </c>
      <c r="G75" s="174"/>
      <c r="H75" s="25">
        <v>50</v>
      </c>
      <c r="I75" s="171">
        <v>1</v>
      </c>
      <c r="J75" s="23">
        <v>9.3000000000000007</v>
      </c>
      <c r="K75" s="23">
        <v>1.1000000000000001</v>
      </c>
      <c r="L75" s="23">
        <f t="shared" si="9"/>
        <v>10.36</v>
      </c>
      <c r="M75" s="422">
        <v>0.56999999999999995</v>
      </c>
      <c r="N75" s="421">
        <f t="shared" si="7"/>
        <v>19.448399999999996</v>
      </c>
    </row>
    <row r="76" spans="1:16" s="72" customFormat="1" ht="21.95" customHeight="1">
      <c r="A76" s="171"/>
      <c r="B76" s="171"/>
      <c r="C76" s="171">
        <v>8</v>
      </c>
      <c r="D76" s="172" t="s">
        <v>173</v>
      </c>
      <c r="E76" s="25">
        <v>71</v>
      </c>
      <c r="F76" s="209">
        <v>0.35</v>
      </c>
      <c r="G76" s="174"/>
      <c r="H76" s="25">
        <v>50</v>
      </c>
      <c r="I76" s="171">
        <v>1</v>
      </c>
      <c r="J76" s="23">
        <v>14.3</v>
      </c>
      <c r="K76" s="23">
        <v>2</v>
      </c>
      <c r="L76" s="23">
        <f t="shared" si="9"/>
        <v>16.3</v>
      </c>
      <c r="M76" s="422">
        <v>0.56999999999999995</v>
      </c>
      <c r="N76" s="421">
        <f t="shared" si="7"/>
        <v>19.448399999999996</v>
      </c>
    </row>
    <row r="77" spans="1:16" s="72" customFormat="1" ht="21.95" customHeight="1">
      <c r="A77" s="171"/>
      <c r="B77" s="171"/>
      <c r="C77" s="171">
        <v>9</v>
      </c>
      <c r="D77" s="172" t="s">
        <v>174</v>
      </c>
      <c r="E77" s="25">
        <v>36</v>
      </c>
      <c r="F77" s="209">
        <v>0.6</v>
      </c>
      <c r="G77" s="173"/>
      <c r="H77" s="25">
        <v>50</v>
      </c>
      <c r="I77" s="171">
        <v>1</v>
      </c>
      <c r="J77" s="23">
        <v>18</v>
      </c>
      <c r="K77" s="23">
        <v>2.8</v>
      </c>
      <c r="L77" s="23">
        <f t="shared" si="9"/>
        <v>20.799999999999997</v>
      </c>
      <c r="M77" s="422">
        <v>0.56999999999999995</v>
      </c>
      <c r="N77" s="421">
        <f t="shared" si="7"/>
        <v>19.448399999999996</v>
      </c>
      <c r="O77" s="144"/>
      <c r="P77" s="142"/>
    </row>
    <row r="78" spans="1:16" s="72" customFormat="1" ht="21.95" customHeight="1">
      <c r="A78" s="171"/>
      <c r="B78" s="171"/>
      <c r="C78" s="171">
        <v>10</v>
      </c>
      <c r="D78" s="172" t="s">
        <v>175</v>
      </c>
      <c r="E78" s="25">
        <v>40</v>
      </c>
      <c r="F78" s="209">
        <v>0.6</v>
      </c>
      <c r="G78" s="173"/>
      <c r="H78" s="25">
        <v>50</v>
      </c>
      <c r="I78" s="171">
        <v>1</v>
      </c>
      <c r="J78" s="23">
        <v>18</v>
      </c>
      <c r="K78" s="23">
        <v>2.8</v>
      </c>
      <c r="L78" s="23">
        <f t="shared" si="9"/>
        <v>20.799999999999997</v>
      </c>
      <c r="M78" s="422">
        <v>0.56999999999999995</v>
      </c>
      <c r="N78" s="421">
        <f t="shared" si="7"/>
        <v>19.448399999999996</v>
      </c>
      <c r="O78" s="144"/>
      <c r="P78" s="142"/>
    </row>
    <row r="79" spans="1:16" s="72" customFormat="1" ht="21.95" customHeight="1">
      <c r="A79" s="171"/>
      <c r="B79" s="171"/>
      <c r="C79" s="171">
        <v>11</v>
      </c>
      <c r="D79" s="172" t="s">
        <v>176</v>
      </c>
      <c r="E79" s="25">
        <v>38</v>
      </c>
      <c r="F79" s="209">
        <v>1</v>
      </c>
      <c r="G79" s="25"/>
      <c r="H79" s="25">
        <v>50</v>
      </c>
      <c r="I79" s="171">
        <v>1</v>
      </c>
      <c r="J79" s="23">
        <v>24</v>
      </c>
      <c r="K79" s="23">
        <v>4</v>
      </c>
      <c r="L79" s="23">
        <f t="shared" si="9"/>
        <v>28</v>
      </c>
      <c r="M79" s="422">
        <v>0.56999999999999995</v>
      </c>
      <c r="N79" s="421">
        <f t="shared" si="7"/>
        <v>19.448399999999996</v>
      </c>
      <c r="O79" s="144"/>
      <c r="P79" s="142"/>
    </row>
    <row r="80" spans="1:16" s="72" customFormat="1" ht="21.95" customHeight="1">
      <c r="A80" s="171"/>
      <c r="B80" s="171"/>
      <c r="C80" s="171">
        <v>12</v>
      </c>
      <c r="D80" s="172" t="s">
        <v>177</v>
      </c>
      <c r="E80" s="25">
        <v>30</v>
      </c>
      <c r="F80" s="209">
        <v>0.73</v>
      </c>
      <c r="G80" s="174"/>
      <c r="H80" s="25">
        <v>50</v>
      </c>
      <c r="I80" s="171">
        <v>1</v>
      </c>
      <c r="J80" s="23">
        <v>20</v>
      </c>
      <c r="K80" s="23">
        <v>3.1</v>
      </c>
      <c r="L80" s="23">
        <f t="shared" si="9"/>
        <v>23.14</v>
      </c>
      <c r="M80" s="422">
        <v>0.56999999999999995</v>
      </c>
      <c r="N80" s="421">
        <f t="shared" si="7"/>
        <v>19.448399999999996</v>
      </c>
      <c r="O80" s="144"/>
      <c r="P80" s="142"/>
    </row>
    <row r="81" spans="1:16" s="72" customFormat="1" ht="21.95" customHeight="1">
      <c r="A81" s="171"/>
      <c r="B81" s="171"/>
      <c r="C81" s="171">
        <v>13</v>
      </c>
      <c r="D81" s="172" t="s">
        <v>20</v>
      </c>
      <c r="E81" s="25">
        <v>39</v>
      </c>
      <c r="F81" s="209">
        <v>0.85</v>
      </c>
      <c r="G81" s="174"/>
      <c r="H81" s="25">
        <v>50</v>
      </c>
      <c r="I81" s="171">
        <v>1</v>
      </c>
      <c r="J81" s="23">
        <v>21.8</v>
      </c>
      <c r="K81" s="23">
        <v>3.5</v>
      </c>
      <c r="L81" s="23">
        <f t="shared" si="9"/>
        <v>25.299999999999997</v>
      </c>
      <c r="M81" s="422">
        <v>0.56999999999999995</v>
      </c>
      <c r="N81" s="421">
        <f t="shared" si="7"/>
        <v>19.448399999999996</v>
      </c>
    </row>
    <row r="82" spans="1:16" s="72" customFormat="1" ht="21.95" customHeight="1">
      <c r="A82" s="171"/>
      <c r="B82" s="171"/>
      <c r="C82" s="171">
        <v>14</v>
      </c>
      <c r="D82" s="172" t="s">
        <v>178</v>
      </c>
      <c r="E82" s="25">
        <v>89</v>
      </c>
      <c r="F82" s="209">
        <v>1.3</v>
      </c>
      <c r="G82" s="173"/>
      <c r="H82" s="25">
        <v>100</v>
      </c>
      <c r="I82" s="171">
        <v>1</v>
      </c>
      <c r="J82" s="23">
        <v>29.5</v>
      </c>
      <c r="K82" s="23">
        <v>4.9000000000000004</v>
      </c>
      <c r="L82" s="23">
        <f>F82*18+11</f>
        <v>34.400000000000006</v>
      </c>
      <c r="M82" s="422">
        <v>0.76</v>
      </c>
      <c r="N82" s="421">
        <f t="shared" si="7"/>
        <v>25.931199999999997</v>
      </c>
    </row>
    <row r="83" spans="1:16" s="72" customFormat="1" ht="21.95" customHeight="1">
      <c r="A83" s="171"/>
      <c r="B83" s="171"/>
      <c r="C83" s="171">
        <v>15</v>
      </c>
      <c r="D83" s="172" t="s">
        <v>18</v>
      </c>
      <c r="E83" s="25">
        <v>68</v>
      </c>
      <c r="F83" s="209">
        <v>0.2</v>
      </c>
      <c r="G83" s="173"/>
      <c r="H83" s="25">
        <v>100</v>
      </c>
      <c r="I83" s="171">
        <v>1</v>
      </c>
      <c r="J83" s="23">
        <v>13</v>
      </c>
      <c r="K83" s="23">
        <v>1.6</v>
      </c>
      <c r="L83" s="23">
        <f t="shared" ref="L83" si="10">F83*18+11</f>
        <v>14.6</v>
      </c>
      <c r="M83" s="422">
        <v>0.76</v>
      </c>
      <c r="N83" s="421">
        <f t="shared" si="7"/>
        <v>25.931199999999997</v>
      </c>
    </row>
    <row r="84" spans="1:16" s="72" customFormat="1" ht="21.95" customHeight="1">
      <c r="A84" s="171"/>
      <c r="B84" s="171"/>
      <c r="C84" s="171">
        <v>16</v>
      </c>
      <c r="D84" s="172" t="s">
        <v>179</v>
      </c>
      <c r="E84" s="25">
        <v>65</v>
      </c>
      <c r="F84" s="209">
        <v>0.3</v>
      </c>
      <c r="G84" s="173"/>
      <c r="H84" s="25">
        <v>50</v>
      </c>
      <c r="I84" s="171">
        <v>1</v>
      </c>
      <c r="J84" s="23">
        <v>13.5</v>
      </c>
      <c r="K84" s="23">
        <v>1.9</v>
      </c>
      <c r="L84" s="23">
        <f>F84*18+10</f>
        <v>15.399999999999999</v>
      </c>
      <c r="M84" s="422">
        <v>0.56999999999999995</v>
      </c>
      <c r="N84" s="421">
        <f t="shared" si="7"/>
        <v>19.448399999999996</v>
      </c>
      <c r="O84" s="144"/>
      <c r="P84" s="142"/>
    </row>
    <row r="85" spans="1:16" s="72" customFormat="1" ht="21.95" customHeight="1">
      <c r="A85" s="175"/>
      <c r="B85" s="175"/>
      <c r="C85" s="175">
        <v>17</v>
      </c>
      <c r="D85" s="176" t="s">
        <v>180</v>
      </c>
      <c r="E85" s="32">
        <v>80</v>
      </c>
      <c r="F85" s="210">
        <v>0.5</v>
      </c>
      <c r="G85" s="224"/>
      <c r="H85" s="32">
        <v>100</v>
      </c>
      <c r="I85" s="175">
        <v>1</v>
      </c>
      <c r="J85" s="30">
        <v>17.5</v>
      </c>
      <c r="K85" s="30">
        <v>2.5</v>
      </c>
      <c r="L85" s="30">
        <f>F85*18+11</f>
        <v>20</v>
      </c>
      <c r="M85" s="423">
        <v>0.76</v>
      </c>
      <c r="N85" s="421">
        <f t="shared" si="7"/>
        <v>25.931199999999997</v>
      </c>
      <c r="O85" s="144"/>
      <c r="P85" s="142"/>
    </row>
    <row r="86" spans="1:16" s="72" customFormat="1">
      <c r="A86" s="131"/>
      <c r="B86" s="131"/>
      <c r="C86" s="131"/>
      <c r="E86" s="126"/>
      <c r="F86" s="130"/>
      <c r="G86" s="130"/>
      <c r="H86" s="126"/>
      <c r="I86" s="131"/>
      <c r="J86" s="128"/>
      <c r="K86" s="128"/>
      <c r="L86" s="128"/>
      <c r="M86" s="419"/>
      <c r="N86" s="419"/>
      <c r="O86" s="144"/>
      <c r="P86" s="142"/>
    </row>
    <row r="87" spans="1:16" s="72" customFormat="1">
      <c r="A87" s="131"/>
      <c r="B87" s="131"/>
      <c r="C87" s="131"/>
      <c r="E87" s="126"/>
      <c r="F87" s="130"/>
      <c r="G87" s="130"/>
      <c r="H87" s="126"/>
      <c r="I87" s="131"/>
      <c r="J87" s="128"/>
      <c r="K87" s="128"/>
      <c r="L87" s="128"/>
      <c r="M87" s="419"/>
      <c r="N87" s="419"/>
      <c r="O87" s="144"/>
      <c r="P87" s="142"/>
    </row>
    <row r="88" spans="1:16" s="72" customFormat="1">
      <c r="A88" s="131"/>
      <c r="B88" s="131"/>
      <c r="C88" s="131"/>
      <c r="E88" s="126"/>
      <c r="F88" s="130"/>
      <c r="G88" s="130"/>
      <c r="H88" s="126"/>
      <c r="I88" s="131"/>
      <c r="J88" s="128"/>
      <c r="K88" s="128"/>
      <c r="L88" s="128"/>
      <c r="M88" s="419"/>
      <c r="N88" s="419"/>
      <c r="O88" s="144"/>
      <c r="P88" s="142"/>
    </row>
    <row r="89" spans="1:16" s="72" customFormat="1">
      <c r="A89" s="131"/>
      <c r="B89" s="131"/>
      <c r="C89" s="131"/>
      <c r="E89" s="126"/>
      <c r="F89" s="130"/>
      <c r="G89" s="130"/>
      <c r="H89" s="126"/>
      <c r="I89" s="131"/>
      <c r="J89" s="128"/>
      <c r="K89" s="128"/>
      <c r="L89" s="128"/>
      <c r="M89" s="419"/>
      <c r="N89" s="419"/>
      <c r="O89" s="144"/>
      <c r="P89" s="142"/>
    </row>
    <row r="90" spans="1:16" s="5" customFormat="1" ht="27.75" customHeight="1">
      <c r="A90" s="654" t="s">
        <v>1</v>
      </c>
      <c r="B90" s="632" t="s">
        <v>755</v>
      </c>
      <c r="C90" s="646" t="s">
        <v>21</v>
      </c>
      <c r="D90" s="647"/>
      <c r="E90" s="652" t="s">
        <v>756</v>
      </c>
      <c r="F90" s="654" t="s">
        <v>3</v>
      </c>
      <c r="G90" s="654"/>
      <c r="H90" s="654"/>
      <c r="I90" s="654"/>
      <c r="J90" s="654" t="s">
        <v>761</v>
      </c>
      <c r="K90" s="654"/>
      <c r="L90" s="654"/>
      <c r="M90" s="644" t="s">
        <v>857</v>
      </c>
      <c r="N90" s="644"/>
    </row>
    <row r="91" spans="1:16" s="5" customFormat="1" ht="40.5" customHeight="1">
      <c r="A91" s="654"/>
      <c r="B91" s="633"/>
      <c r="C91" s="648"/>
      <c r="D91" s="649"/>
      <c r="E91" s="652"/>
      <c r="F91" s="652" t="s">
        <v>757</v>
      </c>
      <c r="G91" s="652" t="s">
        <v>5</v>
      </c>
      <c r="H91" s="652" t="s">
        <v>6</v>
      </c>
      <c r="I91" s="652"/>
      <c r="J91" s="652" t="s">
        <v>22</v>
      </c>
      <c r="K91" s="652" t="s">
        <v>762</v>
      </c>
      <c r="L91" s="654" t="s">
        <v>8</v>
      </c>
      <c r="M91" s="644"/>
      <c r="N91" s="644"/>
    </row>
    <row r="92" spans="1:16" s="5" customFormat="1" ht="58.5" customHeight="1">
      <c r="A92" s="632"/>
      <c r="B92" s="634"/>
      <c r="C92" s="650"/>
      <c r="D92" s="651"/>
      <c r="E92" s="653"/>
      <c r="F92" s="653"/>
      <c r="G92" s="653"/>
      <c r="H92" s="381" t="s">
        <v>9</v>
      </c>
      <c r="I92" s="381" t="s">
        <v>10</v>
      </c>
      <c r="J92" s="653"/>
      <c r="K92" s="632"/>
      <c r="L92" s="632"/>
      <c r="M92" s="382" t="s">
        <v>753</v>
      </c>
      <c r="N92" s="383" t="s">
        <v>754</v>
      </c>
    </row>
    <row r="93" spans="1:16" s="72" customFormat="1" ht="21.95" customHeight="1">
      <c r="A93" s="169"/>
      <c r="B93" s="169" t="s">
        <v>13</v>
      </c>
      <c r="C93" s="169">
        <v>18</v>
      </c>
      <c r="D93" s="170" t="s">
        <v>181</v>
      </c>
      <c r="E93" s="19">
        <v>63</v>
      </c>
      <c r="F93" s="205">
        <v>0.2</v>
      </c>
      <c r="G93" s="223"/>
      <c r="H93" s="19">
        <v>100</v>
      </c>
      <c r="I93" s="169">
        <v>1</v>
      </c>
      <c r="J93" s="180">
        <v>13</v>
      </c>
      <c r="K93" s="180">
        <v>1.6</v>
      </c>
      <c r="L93" s="180">
        <f t="shared" ref="L93" si="11">F93*18+11</f>
        <v>14.6</v>
      </c>
      <c r="M93" s="415">
        <v>0.76</v>
      </c>
      <c r="N93" s="415">
        <f>M93*34.12</f>
        <v>25.931199999999997</v>
      </c>
      <c r="O93" s="144"/>
      <c r="P93" s="142"/>
    </row>
    <row r="94" spans="1:16" s="72" customFormat="1" ht="21.95" customHeight="1">
      <c r="A94" s="171"/>
      <c r="B94" s="171" t="s">
        <v>778</v>
      </c>
      <c r="C94" s="171">
        <v>19</v>
      </c>
      <c r="D94" s="172" t="s">
        <v>182</v>
      </c>
      <c r="E94" s="25">
        <v>39</v>
      </c>
      <c r="F94" s="209">
        <v>0.05</v>
      </c>
      <c r="G94" s="174"/>
      <c r="H94" s="25">
        <v>50</v>
      </c>
      <c r="I94" s="171">
        <v>1</v>
      </c>
      <c r="J94" s="181">
        <v>9.75</v>
      </c>
      <c r="K94" s="181">
        <v>1.1000000000000001</v>
      </c>
      <c r="L94" s="181">
        <f>F94*18+10</f>
        <v>10.9</v>
      </c>
      <c r="M94" s="416">
        <v>0.56999999999999995</v>
      </c>
      <c r="N94" s="416">
        <f t="shared" ref="N94:N111" si="12">M94*34.12</f>
        <v>19.448399999999996</v>
      </c>
      <c r="O94" s="144"/>
      <c r="P94" s="142"/>
    </row>
    <row r="95" spans="1:16" s="72" customFormat="1" ht="21.95" customHeight="1">
      <c r="A95" s="171"/>
      <c r="B95" s="171"/>
      <c r="C95" s="171">
        <v>20</v>
      </c>
      <c r="D95" s="172" t="s">
        <v>20</v>
      </c>
      <c r="E95" s="25">
        <v>19</v>
      </c>
      <c r="F95" s="209">
        <v>0.25</v>
      </c>
      <c r="G95" s="174"/>
      <c r="H95" s="25">
        <v>50</v>
      </c>
      <c r="I95" s="171">
        <v>1</v>
      </c>
      <c r="J95" s="181">
        <v>12.7</v>
      </c>
      <c r="K95" s="181">
        <v>1.8</v>
      </c>
      <c r="L95" s="181">
        <f t="shared" ref="L95:L107" si="13">F95*18+10</f>
        <v>14.5</v>
      </c>
      <c r="M95" s="416">
        <v>0.56999999999999995</v>
      </c>
      <c r="N95" s="416">
        <f t="shared" si="12"/>
        <v>19.448399999999996</v>
      </c>
      <c r="O95" s="144"/>
      <c r="P95" s="142"/>
    </row>
    <row r="96" spans="1:16" s="72" customFormat="1" ht="21.95" customHeight="1">
      <c r="A96" s="171"/>
      <c r="B96" s="171"/>
      <c r="C96" s="171">
        <v>21</v>
      </c>
      <c r="D96" s="172" t="s">
        <v>20</v>
      </c>
      <c r="E96" s="25">
        <v>36</v>
      </c>
      <c r="F96" s="209">
        <v>0.22</v>
      </c>
      <c r="G96" s="174"/>
      <c r="H96" s="25">
        <v>50</v>
      </c>
      <c r="I96" s="171">
        <v>1</v>
      </c>
      <c r="J96" s="181">
        <v>12.3</v>
      </c>
      <c r="K96" s="181">
        <v>1.7</v>
      </c>
      <c r="L96" s="181">
        <f t="shared" si="13"/>
        <v>13.96</v>
      </c>
      <c r="M96" s="416">
        <v>0.56999999999999995</v>
      </c>
      <c r="N96" s="416">
        <f t="shared" si="12"/>
        <v>19.448399999999996</v>
      </c>
      <c r="O96" s="144"/>
      <c r="P96" s="142"/>
    </row>
    <row r="97" spans="1:19" s="72" customFormat="1" ht="21.95" customHeight="1">
      <c r="A97" s="171"/>
      <c r="B97" s="171"/>
      <c r="C97" s="171">
        <v>22</v>
      </c>
      <c r="D97" s="172" t="s">
        <v>183</v>
      </c>
      <c r="E97" s="25">
        <v>73</v>
      </c>
      <c r="F97" s="209">
        <v>0.26</v>
      </c>
      <c r="G97" s="174"/>
      <c r="H97" s="25">
        <v>50</v>
      </c>
      <c r="I97" s="171">
        <v>1</v>
      </c>
      <c r="J97" s="181">
        <v>12.9</v>
      </c>
      <c r="K97" s="181">
        <v>1.8</v>
      </c>
      <c r="L97" s="181">
        <f t="shared" si="13"/>
        <v>14.68</v>
      </c>
      <c r="M97" s="416">
        <v>0.56999999999999995</v>
      </c>
      <c r="N97" s="416">
        <f t="shared" si="12"/>
        <v>19.448399999999996</v>
      </c>
      <c r="O97" s="144"/>
      <c r="P97" s="142"/>
    </row>
    <row r="98" spans="1:19" s="72" customFormat="1" ht="21.95" customHeight="1">
      <c r="A98" s="171"/>
      <c r="B98" s="171"/>
      <c r="C98" s="171">
        <v>23</v>
      </c>
      <c r="D98" s="172" t="s">
        <v>184</v>
      </c>
      <c r="E98" s="25">
        <v>23</v>
      </c>
      <c r="F98" s="209">
        <v>0.5</v>
      </c>
      <c r="G98" s="173"/>
      <c r="H98" s="25">
        <v>50</v>
      </c>
      <c r="I98" s="171">
        <v>1</v>
      </c>
      <c r="J98" s="181">
        <v>16.5</v>
      </c>
      <c r="K98" s="181">
        <v>2.5</v>
      </c>
      <c r="L98" s="181">
        <f t="shared" si="13"/>
        <v>19</v>
      </c>
      <c r="M98" s="416">
        <v>0.56999999999999995</v>
      </c>
      <c r="N98" s="416">
        <f t="shared" si="12"/>
        <v>19.448399999999996</v>
      </c>
      <c r="O98" s="144">
        <f>M98+N98</f>
        <v>20.018399999999996</v>
      </c>
      <c r="P98" s="142"/>
    </row>
    <row r="99" spans="1:19" s="72" customFormat="1" ht="21.95" customHeight="1">
      <c r="A99" s="171"/>
      <c r="B99" s="171"/>
      <c r="C99" s="171">
        <v>24</v>
      </c>
      <c r="D99" s="172" t="s">
        <v>185</v>
      </c>
      <c r="E99" s="25">
        <v>49</v>
      </c>
      <c r="F99" s="209">
        <v>0.1</v>
      </c>
      <c r="G99" s="173"/>
      <c r="H99" s="25">
        <v>50</v>
      </c>
      <c r="I99" s="171">
        <v>1</v>
      </c>
      <c r="J99" s="181">
        <v>10.5</v>
      </c>
      <c r="K99" s="181">
        <v>1.3</v>
      </c>
      <c r="L99" s="181">
        <f t="shared" si="13"/>
        <v>11.8</v>
      </c>
      <c r="M99" s="416">
        <v>0.56999999999999995</v>
      </c>
      <c r="N99" s="416">
        <f t="shared" si="12"/>
        <v>19.448399999999996</v>
      </c>
      <c r="O99" s="144">
        <f>M99+N99</f>
        <v>20.018399999999996</v>
      </c>
      <c r="P99" s="142"/>
    </row>
    <row r="100" spans="1:19" s="72" customFormat="1" ht="21.95" customHeight="1">
      <c r="A100" s="171"/>
      <c r="B100" s="171"/>
      <c r="C100" s="171">
        <v>25</v>
      </c>
      <c r="D100" s="172" t="s">
        <v>186</v>
      </c>
      <c r="E100" s="25">
        <v>55</v>
      </c>
      <c r="F100" s="209">
        <v>0.7</v>
      </c>
      <c r="G100" s="173"/>
      <c r="H100" s="25">
        <v>50</v>
      </c>
      <c r="I100" s="171">
        <v>1</v>
      </c>
      <c r="J100" s="181">
        <v>19.5</v>
      </c>
      <c r="K100" s="181">
        <v>3.1</v>
      </c>
      <c r="L100" s="181">
        <f t="shared" si="13"/>
        <v>22.6</v>
      </c>
      <c r="M100" s="416">
        <v>0.56999999999999995</v>
      </c>
      <c r="N100" s="416">
        <f t="shared" si="12"/>
        <v>19.448399999999996</v>
      </c>
      <c r="O100" s="144">
        <f>SUM(O98:O99)</f>
        <v>40.036799999999992</v>
      </c>
      <c r="P100" s="142"/>
    </row>
    <row r="101" spans="1:19" s="72" customFormat="1" ht="21.95" customHeight="1">
      <c r="A101" s="171"/>
      <c r="B101" s="171"/>
      <c r="C101" s="171">
        <v>26</v>
      </c>
      <c r="D101" s="172" t="s">
        <v>187</v>
      </c>
      <c r="E101" s="25">
        <v>41</v>
      </c>
      <c r="F101" s="209">
        <v>0.5</v>
      </c>
      <c r="G101" s="173"/>
      <c r="H101" s="25">
        <v>50</v>
      </c>
      <c r="I101" s="171">
        <v>1</v>
      </c>
      <c r="J101" s="181">
        <f>0.5*15+9</f>
        <v>16.5</v>
      </c>
      <c r="K101" s="181">
        <f>0.5*3+1</f>
        <v>2.5</v>
      </c>
      <c r="L101" s="181">
        <f t="shared" si="13"/>
        <v>19</v>
      </c>
      <c r="M101" s="416">
        <v>0.56999999999999995</v>
      </c>
      <c r="N101" s="416">
        <f t="shared" si="12"/>
        <v>19.448399999999996</v>
      </c>
      <c r="O101" s="144"/>
      <c r="P101" s="142"/>
    </row>
    <row r="102" spans="1:19" s="72" customFormat="1" ht="21.95" customHeight="1">
      <c r="A102" s="171"/>
      <c r="B102" s="171"/>
      <c r="C102" s="171">
        <v>27</v>
      </c>
      <c r="D102" s="172" t="s">
        <v>188</v>
      </c>
      <c r="E102" s="25">
        <v>55</v>
      </c>
      <c r="F102" s="209">
        <v>0.15</v>
      </c>
      <c r="G102" s="174"/>
      <c r="H102" s="25">
        <v>50</v>
      </c>
      <c r="I102" s="171">
        <v>1</v>
      </c>
      <c r="J102" s="181">
        <f>F102*15+9</f>
        <v>11.25</v>
      </c>
      <c r="K102" s="181">
        <v>1.4</v>
      </c>
      <c r="L102" s="181">
        <f>F102*18+10</f>
        <v>12.7</v>
      </c>
      <c r="M102" s="416">
        <v>0.56999999999999995</v>
      </c>
      <c r="N102" s="416">
        <f t="shared" si="12"/>
        <v>19.448399999999996</v>
      </c>
      <c r="O102" s="144"/>
      <c r="P102" s="142"/>
    </row>
    <row r="103" spans="1:19" s="72" customFormat="1" ht="21.95" customHeight="1">
      <c r="A103" s="171"/>
      <c r="B103" s="171"/>
      <c r="C103" s="171">
        <v>28</v>
      </c>
      <c r="D103" s="172" t="s">
        <v>189</v>
      </c>
      <c r="E103" s="25">
        <v>27</v>
      </c>
      <c r="F103" s="209">
        <v>0.05</v>
      </c>
      <c r="G103" s="174"/>
      <c r="H103" s="25">
        <v>50</v>
      </c>
      <c r="I103" s="171">
        <v>1</v>
      </c>
      <c r="J103" s="181">
        <v>9.6999999999999993</v>
      </c>
      <c r="K103" s="181">
        <f>F103*3+1</f>
        <v>1.1499999999999999</v>
      </c>
      <c r="L103" s="181">
        <f>F103*18+10</f>
        <v>10.9</v>
      </c>
      <c r="M103" s="416">
        <v>0.56999999999999995</v>
      </c>
      <c r="N103" s="416">
        <f t="shared" si="12"/>
        <v>19.448399999999996</v>
      </c>
      <c r="O103" s="144"/>
      <c r="P103" s="142"/>
    </row>
    <row r="104" spans="1:19" s="72" customFormat="1" ht="21.95" customHeight="1">
      <c r="A104" s="171"/>
      <c r="B104" s="171"/>
      <c r="C104" s="171">
        <v>29</v>
      </c>
      <c r="D104" s="172" t="s">
        <v>190</v>
      </c>
      <c r="E104" s="25">
        <v>37</v>
      </c>
      <c r="F104" s="209">
        <v>0.35</v>
      </c>
      <c r="G104" s="174"/>
      <c r="H104" s="25">
        <v>50</v>
      </c>
      <c r="I104" s="171">
        <v>1</v>
      </c>
      <c r="J104" s="181">
        <f>F104*15+9</f>
        <v>14.25</v>
      </c>
      <c r="K104" s="181">
        <f>F104*3+1</f>
        <v>2.0499999999999998</v>
      </c>
      <c r="L104" s="181">
        <v>16.399999999999999</v>
      </c>
      <c r="M104" s="416">
        <v>0.56999999999999995</v>
      </c>
      <c r="N104" s="416">
        <f t="shared" si="12"/>
        <v>19.448399999999996</v>
      </c>
      <c r="O104" s="144"/>
      <c r="P104" s="142"/>
    </row>
    <row r="105" spans="1:19" s="72" customFormat="1" ht="21.95" customHeight="1">
      <c r="A105" s="171"/>
      <c r="B105" s="171"/>
      <c r="C105" s="171">
        <v>30</v>
      </c>
      <c r="D105" s="172" t="s">
        <v>191</v>
      </c>
      <c r="E105" s="25">
        <v>32</v>
      </c>
      <c r="F105" s="209">
        <v>0.5</v>
      </c>
      <c r="G105" s="173"/>
      <c r="H105" s="25">
        <v>50</v>
      </c>
      <c r="I105" s="171">
        <v>1</v>
      </c>
      <c r="J105" s="181">
        <f>F105*15+9</f>
        <v>16.5</v>
      </c>
      <c r="K105" s="181">
        <f>F105*3+1</f>
        <v>2.5</v>
      </c>
      <c r="L105" s="181">
        <f t="shared" si="13"/>
        <v>19</v>
      </c>
      <c r="M105" s="416">
        <v>0.56999999999999995</v>
      </c>
      <c r="N105" s="416">
        <f t="shared" si="12"/>
        <v>19.448399999999996</v>
      </c>
      <c r="O105" s="144"/>
      <c r="P105" s="142"/>
      <c r="Q105" s="72">
        <f>1.83*15</f>
        <v>27.450000000000003</v>
      </c>
      <c r="R105" s="131">
        <v>9</v>
      </c>
      <c r="S105" s="144">
        <f>Q105+R105</f>
        <v>36.450000000000003</v>
      </c>
    </row>
    <row r="106" spans="1:19" s="72" customFormat="1" ht="21.95" customHeight="1">
      <c r="A106" s="171"/>
      <c r="B106" s="171"/>
      <c r="C106" s="171">
        <v>31</v>
      </c>
      <c r="D106" s="172" t="s">
        <v>151</v>
      </c>
      <c r="E106" s="25">
        <v>85</v>
      </c>
      <c r="F106" s="209">
        <v>1.25</v>
      </c>
      <c r="G106" s="174"/>
      <c r="H106" s="25">
        <v>50</v>
      </c>
      <c r="I106" s="171">
        <v>1</v>
      </c>
      <c r="J106" s="181">
        <f>F106*15+9</f>
        <v>27.75</v>
      </c>
      <c r="K106" s="181">
        <f t="shared" ref="K106:K109" si="14">F106*3+1</f>
        <v>4.75</v>
      </c>
      <c r="L106" s="181">
        <v>32.6</v>
      </c>
      <c r="M106" s="416">
        <v>0.56999999999999995</v>
      </c>
      <c r="N106" s="416">
        <f t="shared" si="12"/>
        <v>19.448399999999996</v>
      </c>
      <c r="O106" s="144"/>
      <c r="P106" s="142"/>
      <c r="Q106" s="72">
        <f>1.83*3</f>
        <v>5.49</v>
      </c>
      <c r="R106" s="131">
        <v>1</v>
      </c>
      <c r="S106" s="144">
        <f>Q106+R106</f>
        <v>6.49</v>
      </c>
    </row>
    <row r="107" spans="1:19" s="72" customFormat="1" ht="21.95" customHeight="1">
      <c r="A107" s="171"/>
      <c r="B107" s="171"/>
      <c r="C107" s="171">
        <v>32</v>
      </c>
      <c r="D107" s="172" t="s">
        <v>192</v>
      </c>
      <c r="E107" s="25">
        <v>37</v>
      </c>
      <c r="F107" s="209">
        <v>0.8</v>
      </c>
      <c r="G107" s="173"/>
      <c r="H107" s="25">
        <v>50</v>
      </c>
      <c r="I107" s="171">
        <v>1</v>
      </c>
      <c r="J107" s="181">
        <f>F107*15+9</f>
        <v>21</v>
      </c>
      <c r="K107" s="181">
        <f t="shared" si="14"/>
        <v>3.4000000000000004</v>
      </c>
      <c r="L107" s="181">
        <f t="shared" si="13"/>
        <v>24.4</v>
      </c>
      <c r="M107" s="416">
        <v>0.56999999999999995</v>
      </c>
      <c r="N107" s="416">
        <f t="shared" si="12"/>
        <v>19.448399999999996</v>
      </c>
      <c r="O107" s="144"/>
      <c r="P107" s="142"/>
      <c r="Q107" s="131"/>
      <c r="S107" s="144">
        <f>SUM(S105:S106)</f>
        <v>42.940000000000005</v>
      </c>
    </row>
    <row r="108" spans="1:19" s="72" customFormat="1" ht="21.95" customHeight="1">
      <c r="A108" s="171"/>
      <c r="B108" s="171"/>
      <c r="C108" s="171">
        <v>33</v>
      </c>
      <c r="D108" s="172" t="s">
        <v>193</v>
      </c>
      <c r="E108" s="25">
        <v>92</v>
      </c>
      <c r="F108" s="209">
        <v>1.3</v>
      </c>
      <c r="G108" s="173"/>
      <c r="H108" s="25">
        <v>100</v>
      </c>
      <c r="I108" s="171">
        <v>1</v>
      </c>
      <c r="J108" s="181">
        <f>F108*15+10</f>
        <v>29.5</v>
      </c>
      <c r="K108" s="181">
        <f>F108*3+1</f>
        <v>4.9000000000000004</v>
      </c>
      <c r="L108" s="181">
        <v>34.4</v>
      </c>
      <c r="M108" s="416">
        <v>0.76</v>
      </c>
      <c r="N108" s="416">
        <f t="shared" si="12"/>
        <v>25.931199999999997</v>
      </c>
      <c r="O108" s="144"/>
      <c r="P108" s="142"/>
      <c r="S108" s="144"/>
    </row>
    <row r="109" spans="1:19" s="72" customFormat="1" ht="21.95" customHeight="1">
      <c r="A109" s="171"/>
      <c r="B109" s="171"/>
      <c r="C109" s="171">
        <v>34</v>
      </c>
      <c r="D109" s="172" t="s">
        <v>194</v>
      </c>
      <c r="E109" s="25">
        <v>48</v>
      </c>
      <c r="F109" s="209">
        <v>0.68</v>
      </c>
      <c r="G109" s="174"/>
      <c r="H109" s="25">
        <v>50</v>
      </c>
      <c r="I109" s="171">
        <v>1</v>
      </c>
      <c r="J109" s="181">
        <f t="shared" ref="J109" si="15">F109*15+9</f>
        <v>19.200000000000003</v>
      </c>
      <c r="K109" s="181">
        <f t="shared" si="14"/>
        <v>3.04</v>
      </c>
      <c r="L109" s="181">
        <f>F109*18+10</f>
        <v>22.240000000000002</v>
      </c>
      <c r="M109" s="416">
        <v>0.56999999999999995</v>
      </c>
      <c r="N109" s="416">
        <f t="shared" si="12"/>
        <v>19.448399999999996</v>
      </c>
      <c r="O109" s="144"/>
      <c r="P109" s="142"/>
    </row>
    <row r="110" spans="1:19" s="72" customFormat="1" ht="21.95" customHeight="1">
      <c r="A110" s="171"/>
      <c r="B110" s="171"/>
      <c r="C110" s="171">
        <v>34</v>
      </c>
      <c r="D110" s="172" t="s">
        <v>195</v>
      </c>
      <c r="E110" s="25">
        <v>63</v>
      </c>
      <c r="F110" s="209">
        <v>0.38</v>
      </c>
      <c r="G110" s="174"/>
      <c r="H110" s="25">
        <v>50</v>
      </c>
      <c r="I110" s="171">
        <v>1</v>
      </c>
      <c r="J110" s="181">
        <f t="shared" ref="J110" si="16">F110*15+9</f>
        <v>14.7</v>
      </c>
      <c r="K110" s="181">
        <f t="shared" ref="K110:K111" si="17">F110*3+1</f>
        <v>2.14</v>
      </c>
      <c r="L110" s="181">
        <f>F110*18+10</f>
        <v>16.84</v>
      </c>
      <c r="M110" s="416">
        <v>0.56999999999999995</v>
      </c>
      <c r="N110" s="416">
        <f t="shared" si="12"/>
        <v>19.448399999999996</v>
      </c>
      <c r="O110" s="144"/>
      <c r="P110" s="142"/>
    </row>
    <row r="111" spans="1:19" s="72" customFormat="1" ht="21.95" customHeight="1">
      <c r="A111" s="175"/>
      <c r="B111" s="175"/>
      <c r="C111" s="175">
        <v>36</v>
      </c>
      <c r="D111" s="176" t="s">
        <v>196</v>
      </c>
      <c r="E111" s="32">
        <v>82</v>
      </c>
      <c r="F111" s="210">
        <v>0.39</v>
      </c>
      <c r="G111" s="177"/>
      <c r="H111" s="32">
        <v>50</v>
      </c>
      <c r="I111" s="175">
        <v>1</v>
      </c>
      <c r="J111" s="182">
        <f>F111*15+9</f>
        <v>14.850000000000001</v>
      </c>
      <c r="K111" s="182">
        <f t="shared" si="17"/>
        <v>2.17</v>
      </c>
      <c r="L111" s="182">
        <v>17.100000000000001</v>
      </c>
      <c r="M111" s="417">
        <v>0.56999999999999995</v>
      </c>
      <c r="N111" s="417">
        <f t="shared" si="12"/>
        <v>19.448399999999996</v>
      </c>
      <c r="O111" s="144"/>
      <c r="P111" s="142"/>
    </row>
    <row r="112" spans="1:19" s="5" customFormat="1" ht="21.95" customHeight="1">
      <c r="A112" s="186"/>
      <c r="B112" s="186" t="s">
        <v>759</v>
      </c>
      <c r="C112" s="186"/>
      <c r="D112" s="187" t="s">
        <v>779</v>
      </c>
      <c r="E112" s="66">
        <f>SUM(E69:E111)</f>
        <v>2279</v>
      </c>
      <c r="F112" s="67">
        <f>SUM(F69:F111)</f>
        <v>20.59</v>
      </c>
      <c r="G112" s="226"/>
      <c r="H112" s="66">
        <f>SUM(H69:H111)</f>
        <v>2150</v>
      </c>
      <c r="I112" s="221">
        <v>36</v>
      </c>
      <c r="J112" s="69">
        <f>SUM(J69:J111)</f>
        <v>639.90000000000009</v>
      </c>
      <c r="K112" s="69">
        <f>SUM(K69:K111)</f>
        <v>97.65000000000002</v>
      </c>
      <c r="L112" s="69">
        <f t="shared" ref="L112:N112" si="18">SUM(L69:L111)</f>
        <v>738.0200000000001</v>
      </c>
      <c r="M112" s="420">
        <f>SUM(M69:M111)</f>
        <v>21.850000000000005</v>
      </c>
      <c r="N112" s="420">
        <f t="shared" si="18"/>
        <v>745.52199999999982</v>
      </c>
      <c r="O112" s="3"/>
      <c r="P112" s="4"/>
    </row>
    <row r="113" spans="1:16">
      <c r="A113" s="695" t="s">
        <v>197</v>
      </c>
      <c r="B113" s="695"/>
      <c r="C113" s="695"/>
      <c r="D113" s="695"/>
      <c r="E113" s="695"/>
      <c r="F113" s="695"/>
      <c r="G113" s="695"/>
      <c r="H113" s="695"/>
      <c r="I113" s="695"/>
      <c r="J113" s="695"/>
      <c r="K113" s="695"/>
      <c r="L113" s="695"/>
    </row>
    <row r="114" spans="1:16" s="5" customFormat="1" ht="27.75" customHeight="1">
      <c r="A114" s="654" t="s">
        <v>1</v>
      </c>
      <c r="B114" s="632" t="s">
        <v>755</v>
      </c>
      <c r="C114" s="646" t="s">
        <v>21</v>
      </c>
      <c r="D114" s="647"/>
      <c r="E114" s="652" t="s">
        <v>756</v>
      </c>
      <c r="F114" s="654" t="s">
        <v>3</v>
      </c>
      <c r="G114" s="654"/>
      <c r="H114" s="654"/>
      <c r="I114" s="654"/>
      <c r="J114" s="654" t="s">
        <v>761</v>
      </c>
      <c r="K114" s="654"/>
      <c r="L114" s="654"/>
      <c r="M114" s="644" t="s">
        <v>857</v>
      </c>
      <c r="N114" s="644"/>
    </row>
    <row r="115" spans="1:16" s="5" customFormat="1" ht="40.5" customHeight="1">
      <c r="A115" s="654"/>
      <c r="B115" s="633"/>
      <c r="C115" s="648"/>
      <c r="D115" s="649"/>
      <c r="E115" s="652"/>
      <c r="F115" s="652" t="s">
        <v>757</v>
      </c>
      <c r="G115" s="652" t="s">
        <v>5</v>
      </c>
      <c r="H115" s="652" t="s">
        <v>6</v>
      </c>
      <c r="I115" s="652"/>
      <c r="J115" s="652" t="s">
        <v>22</v>
      </c>
      <c r="K115" s="652" t="s">
        <v>762</v>
      </c>
      <c r="L115" s="654" t="s">
        <v>8</v>
      </c>
      <c r="M115" s="644"/>
      <c r="N115" s="644"/>
    </row>
    <row r="116" spans="1:16" s="5" customFormat="1" ht="58.5" customHeight="1">
      <c r="A116" s="632"/>
      <c r="B116" s="634"/>
      <c r="C116" s="650"/>
      <c r="D116" s="651"/>
      <c r="E116" s="653"/>
      <c r="F116" s="653"/>
      <c r="G116" s="653"/>
      <c r="H116" s="381" t="s">
        <v>9</v>
      </c>
      <c r="I116" s="381" t="s">
        <v>10</v>
      </c>
      <c r="J116" s="653"/>
      <c r="K116" s="632"/>
      <c r="L116" s="632"/>
      <c r="M116" s="382" t="s">
        <v>753</v>
      </c>
      <c r="N116" s="383" t="s">
        <v>754</v>
      </c>
    </row>
    <row r="117" spans="1:16" s="72" customFormat="1" ht="21.95" customHeight="1">
      <c r="A117" s="169"/>
      <c r="B117" s="169" t="s">
        <v>13</v>
      </c>
      <c r="C117" s="169">
        <v>1</v>
      </c>
      <c r="D117" s="170" t="s">
        <v>198</v>
      </c>
      <c r="E117" s="19">
        <v>173</v>
      </c>
      <c r="F117" s="205">
        <v>1</v>
      </c>
      <c r="G117" s="223"/>
      <c r="H117" s="19">
        <v>100</v>
      </c>
      <c r="I117" s="169">
        <v>1</v>
      </c>
      <c r="J117" s="17">
        <f>F117*15+10</f>
        <v>25</v>
      </c>
      <c r="K117" s="17">
        <f>F117*3+1</f>
        <v>4</v>
      </c>
      <c r="L117" s="17">
        <f>F117*18+11</f>
        <v>29</v>
      </c>
      <c r="M117" s="415">
        <v>0.76</v>
      </c>
      <c r="N117" s="415">
        <f>M117*34.12</f>
        <v>25.931199999999997</v>
      </c>
      <c r="O117" s="144"/>
      <c r="P117" s="142"/>
    </row>
    <row r="118" spans="1:16" s="72" customFormat="1" ht="21.95" customHeight="1">
      <c r="A118" s="171"/>
      <c r="B118" s="171" t="s">
        <v>780</v>
      </c>
      <c r="C118" s="171">
        <v>2</v>
      </c>
      <c r="D118" s="172" t="s">
        <v>199</v>
      </c>
      <c r="E118" s="25">
        <v>40</v>
      </c>
      <c r="F118" s="209">
        <v>0.8</v>
      </c>
      <c r="G118" s="173"/>
      <c r="H118" s="25">
        <v>50</v>
      </c>
      <c r="I118" s="171">
        <v>1</v>
      </c>
      <c r="J118" s="23">
        <f>F118*15+9</f>
        <v>21</v>
      </c>
      <c r="K118" s="23">
        <f>F118*3+1</f>
        <v>3.4000000000000004</v>
      </c>
      <c r="L118" s="23">
        <f>F118*18+10</f>
        <v>24.4</v>
      </c>
      <c r="M118" s="416">
        <v>0.56999999999999995</v>
      </c>
      <c r="N118" s="416">
        <f t="shared" ref="N118:N133" si="19">M118*34.12</f>
        <v>19.448399999999996</v>
      </c>
      <c r="O118" s="144"/>
      <c r="P118" s="142"/>
    </row>
    <row r="119" spans="1:16" s="72" customFormat="1" ht="21.95" customHeight="1">
      <c r="A119" s="171"/>
      <c r="B119" s="171"/>
      <c r="C119" s="171">
        <v>3</v>
      </c>
      <c r="D119" s="172" t="s">
        <v>200</v>
      </c>
      <c r="E119" s="25">
        <v>278</v>
      </c>
      <c r="F119" s="209">
        <v>1.6</v>
      </c>
      <c r="G119" s="173"/>
      <c r="H119" s="25">
        <v>50</v>
      </c>
      <c r="I119" s="171">
        <v>1</v>
      </c>
      <c r="J119" s="23">
        <f t="shared" ref="J119:J150" si="20">F119*15+9</f>
        <v>33</v>
      </c>
      <c r="K119" s="23">
        <f t="shared" ref="K119:K150" si="21">F119*3+1</f>
        <v>5.8000000000000007</v>
      </c>
      <c r="L119" s="23">
        <f t="shared" ref="L119:L150" si="22">F119*18+10</f>
        <v>38.799999999999997</v>
      </c>
      <c r="M119" s="416">
        <v>0.56999999999999995</v>
      </c>
      <c r="N119" s="416">
        <f t="shared" si="19"/>
        <v>19.448399999999996</v>
      </c>
      <c r="O119" s="144"/>
      <c r="P119" s="142"/>
    </row>
    <row r="120" spans="1:16" s="72" customFormat="1" ht="21.95" customHeight="1">
      <c r="A120" s="171"/>
      <c r="B120" s="171"/>
      <c r="C120" s="171">
        <v>4</v>
      </c>
      <c r="D120" s="172" t="s">
        <v>201</v>
      </c>
      <c r="E120" s="25">
        <v>98</v>
      </c>
      <c r="F120" s="209">
        <v>1.5</v>
      </c>
      <c r="G120" s="173"/>
      <c r="H120" s="25">
        <v>50</v>
      </c>
      <c r="I120" s="171">
        <v>1</v>
      </c>
      <c r="J120" s="23">
        <f t="shared" si="20"/>
        <v>31.5</v>
      </c>
      <c r="K120" s="23">
        <f t="shared" si="21"/>
        <v>5.5</v>
      </c>
      <c r="L120" s="23">
        <f t="shared" si="22"/>
        <v>37</v>
      </c>
      <c r="M120" s="416">
        <v>0.56999999999999995</v>
      </c>
      <c r="N120" s="416">
        <f t="shared" si="19"/>
        <v>19.448399999999996</v>
      </c>
      <c r="O120" s="144"/>
      <c r="P120" s="142"/>
    </row>
    <row r="121" spans="1:16" s="72" customFormat="1" ht="21.95" customHeight="1">
      <c r="A121" s="171"/>
      <c r="B121" s="171"/>
      <c r="C121" s="171">
        <v>5</v>
      </c>
      <c r="D121" s="172" t="s">
        <v>202</v>
      </c>
      <c r="E121" s="25">
        <v>50</v>
      </c>
      <c r="F121" s="209">
        <v>1.5</v>
      </c>
      <c r="G121" s="173"/>
      <c r="H121" s="25">
        <v>50</v>
      </c>
      <c r="I121" s="171">
        <v>1</v>
      </c>
      <c r="J121" s="23">
        <f t="shared" si="20"/>
        <v>31.5</v>
      </c>
      <c r="K121" s="23">
        <f t="shared" si="21"/>
        <v>5.5</v>
      </c>
      <c r="L121" s="23">
        <f t="shared" si="22"/>
        <v>37</v>
      </c>
      <c r="M121" s="416">
        <v>0.56999999999999995</v>
      </c>
      <c r="N121" s="416">
        <f t="shared" si="19"/>
        <v>19.448399999999996</v>
      </c>
      <c r="O121" s="144"/>
      <c r="P121" s="142"/>
    </row>
    <row r="122" spans="1:16" s="72" customFormat="1" ht="21.95" customHeight="1">
      <c r="A122" s="171"/>
      <c r="B122" s="171"/>
      <c r="C122" s="171">
        <v>6</v>
      </c>
      <c r="D122" s="172" t="s">
        <v>203</v>
      </c>
      <c r="E122" s="25">
        <v>46</v>
      </c>
      <c r="F122" s="209">
        <v>1.5</v>
      </c>
      <c r="G122" s="173"/>
      <c r="H122" s="25">
        <v>50</v>
      </c>
      <c r="I122" s="171">
        <v>1</v>
      </c>
      <c r="J122" s="23">
        <f t="shared" si="20"/>
        <v>31.5</v>
      </c>
      <c r="K122" s="23">
        <f t="shared" si="21"/>
        <v>5.5</v>
      </c>
      <c r="L122" s="23">
        <f t="shared" si="22"/>
        <v>37</v>
      </c>
      <c r="M122" s="416">
        <v>0.56999999999999995</v>
      </c>
      <c r="N122" s="416">
        <f t="shared" si="19"/>
        <v>19.448399999999996</v>
      </c>
      <c r="O122" s="144"/>
      <c r="P122" s="142"/>
    </row>
    <row r="123" spans="1:16" s="72" customFormat="1" ht="21.95" customHeight="1">
      <c r="A123" s="171"/>
      <c r="B123" s="171"/>
      <c r="C123" s="171">
        <v>7</v>
      </c>
      <c r="D123" s="172" t="s">
        <v>204</v>
      </c>
      <c r="E123" s="25">
        <v>40</v>
      </c>
      <c r="F123" s="209">
        <v>0.5</v>
      </c>
      <c r="G123" s="173"/>
      <c r="H123" s="25">
        <v>50</v>
      </c>
      <c r="I123" s="171">
        <v>1</v>
      </c>
      <c r="J123" s="23">
        <f t="shared" si="20"/>
        <v>16.5</v>
      </c>
      <c r="K123" s="23">
        <f t="shared" si="21"/>
        <v>2.5</v>
      </c>
      <c r="L123" s="23">
        <f t="shared" si="22"/>
        <v>19</v>
      </c>
      <c r="M123" s="416">
        <v>0.56999999999999995</v>
      </c>
      <c r="N123" s="416">
        <f t="shared" si="19"/>
        <v>19.448399999999996</v>
      </c>
      <c r="O123" s="144"/>
      <c r="P123" s="142"/>
    </row>
    <row r="124" spans="1:16" s="72" customFormat="1" ht="21.95" customHeight="1">
      <c r="A124" s="171"/>
      <c r="B124" s="171"/>
      <c r="C124" s="171">
        <v>8</v>
      </c>
      <c r="D124" s="172" t="s">
        <v>205</v>
      </c>
      <c r="E124" s="25">
        <v>67</v>
      </c>
      <c r="F124" s="209">
        <v>1.2</v>
      </c>
      <c r="G124" s="173"/>
      <c r="H124" s="25">
        <v>50</v>
      </c>
      <c r="I124" s="171">
        <v>1</v>
      </c>
      <c r="J124" s="23">
        <f t="shared" si="20"/>
        <v>27</v>
      </c>
      <c r="K124" s="23">
        <f t="shared" si="21"/>
        <v>4.5999999999999996</v>
      </c>
      <c r="L124" s="23">
        <f t="shared" si="22"/>
        <v>31.599999999999998</v>
      </c>
      <c r="M124" s="416">
        <v>0.56999999999999995</v>
      </c>
      <c r="N124" s="416">
        <f t="shared" si="19"/>
        <v>19.448399999999996</v>
      </c>
      <c r="O124" s="144"/>
      <c r="P124" s="142"/>
    </row>
    <row r="125" spans="1:16" s="72" customFormat="1" ht="21.95" customHeight="1">
      <c r="A125" s="171"/>
      <c r="B125" s="171"/>
      <c r="C125" s="171">
        <v>9</v>
      </c>
      <c r="D125" s="172" t="s">
        <v>206</v>
      </c>
      <c r="E125" s="25">
        <v>40</v>
      </c>
      <c r="F125" s="209">
        <v>0.6</v>
      </c>
      <c r="G125" s="173"/>
      <c r="H125" s="25">
        <v>50</v>
      </c>
      <c r="I125" s="171">
        <v>1</v>
      </c>
      <c r="J125" s="23">
        <f t="shared" si="20"/>
        <v>18</v>
      </c>
      <c r="K125" s="23">
        <f t="shared" si="21"/>
        <v>2.8</v>
      </c>
      <c r="L125" s="23">
        <f t="shared" si="22"/>
        <v>20.799999999999997</v>
      </c>
      <c r="M125" s="416">
        <v>0.56999999999999995</v>
      </c>
      <c r="N125" s="416">
        <f t="shared" si="19"/>
        <v>19.448399999999996</v>
      </c>
      <c r="O125" s="144"/>
      <c r="P125" s="142"/>
    </row>
    <row r="126" spans="1:16" s="72" customFormat="1" ht="21.95" customHeight="1">
      <c r="A126" s="171"/>
      <c r="B126" s="171"/>
      <c r="C126" s="171">
        <v>10</v>
      </c>
      <c r="D126" s="172" t="s">
        <v>207</v>
      </c>
      <c r="E126" s="25">
        <v>42</v>
      </c>
      <c r="F126" s="209">
        <v>0.6</v>
      </c>
      <c r="G126" s="173"/>
      <c r="H126" s="25">
        <v>50</v>
      </c>
      <c r="I126" s="171">
        <v>1</v>
      </c>
      <c r="J126" s="23">
        <f t="shared" si="20"/>
        <v>18</v>
      </c>
      <c r="K126" s="23">
        <f t="shared" si="21"/>
        <v>2.8</v>
      </c>
      <c r="L126" s="23">
        <f t="shared" si="22"/>
        <v>20.799999999999997</v>
      </c>
      <c r="M126" s="416">
        <v>0.56999999999999995</v>
      </c>
      <c r="N126" s="416">
        <f t="shared" si="19"/>
        <v>19.448399999999996</v>
      </c>
      <c r="O126" s="144"/>
      <c r="P126" s="142"/>
    </row>
    <row r="127" spans="1:16" s="72" customFormat="1" ht="21.95" customHeight="1">
      <c r="A127" s="171"/>
      <c r="B127" s="171"/>
      <c r="C127" s="171">
        <v>11</v>
      </c>
      <c r="D127" s="172" t="s">
        <v>208</v>
      </c>
      <c r="E127" s="25">
        <v>65</v>
      </c>
      <c r="F127" s="209">
        <v>1.2</v>
      </c>
      <c r="G127" s="173"/>
      <c r="H127" s="25">
        <v>50</v>
      </c>
      <c r="I127" s="171">
        <v>1</v>
      </c>
      <c r="J127" s="23">
        <f t="shared" si="20"/>
        <v>27</v>
      </c>
      <c r="K127" s="23">
        <f t="shared" si="21"/>
        <v>4.5999999999999996</v>
      </c>
      <c r="L127" s="23">
        <f t="shared" si="22"/>
        <v>31.599999999999998</v>
      </c>
      <c r="M127" s="416">
        <v>0.56999999999999995</v>
      </c>
      <c r="N127" s="416">
        <f t="shared" si="19"/>
        <v>19.448399999999996</v>
      </c>
      <c r="O127" s="144"/>
      <c r="P127" s="142"/>
    </row>
    <row r="128" spans="1:16" s="72" customFormat="1" ht="21.95" customHeight="1">
      <c r="A128" s="171"/>
      <c r="B128" s="171"/>
      <c r="C128" s="171">
        <v>12</v>
      </c>
      <c r="D128" s="172" t="s">
        <v>209</v>
      </c>
      <c r="E128" s="25">
        <v>40</v>
      </c>
      <c r="F128" s="209">
        <v>1</v>
      </c>
      <c r="G128" s="173"/>
      <c r="H128" s="25">
        <v>50</v>
      </c>
      <c r="I128" s="171">
        <v>1</v>
      </c>
      <c r="J128" s="23">
        <f t="shared" si="20"/>
        <v>24</v>
      </c>
      <c r="K128" s="23">
        <f t="shared" si="21"/>
        <v>4</v>
      </c>
      <c r="L128" s="23">
        <f t="shared" si="22"/>
        <v>28</v>
      </c>
      <c r="M128" s="416">
        <v>0.56999999999999995</v>
      </c>
      <c r="N128" s="416">
        <f t="shared" si="19"/>
        <v>19.448399999999996</v>
      </c>
      <c r="O128" s="144"/>
      <c r="P128" s="142"/>
    </row>
    <row r="129" spans="1:16" s="72" customFormat="1" ht="21.95" customHeight="1">
      <c r="A129" s="171"/>
      <c r="B129" s="171"/>
      <c r="C129" s="171">
        <v>13</v>
      </c>
      <c r="D129" s="172" t="s">
        <v>210</v>
      </c>
      <c r="E129" s="25">
        <v>42</v>
      </c>
      <c r="F129" s="209">
        <v>0.5</v>
      </c>
      <c r="G129" s="173"/>
      <c r="H129" s="25">
        <v>50</v>
      </c>
      <c r="I129" s="171">
        <v>1</v>
      </c>
      <c r="J129" s="23">
        <f t="shared" si="20"/>
        <v>16.5</v>
      </c>
      <c r="K129" s="23">
        <f t="shared" si="21"/>
        <v>2.5</v>
      </c>
      <c r="L129" s="23">
        <f t="shared" si="22"/>
        <v>19</v>
      </c>
      <c r="M129" s="416">
        <v>0.56999999999999995</v>
      </c>
      <c r="N129" s="416">
        <f t="shared" si="19"/>
        <v>19.448399999999996</v>
      </c>
      <c r="O129" s="144"/>
      <c r="P129" s="142"/>
    </row>
    <row r="130" spans="1:16" s="72" customFormat="1" ht="21.95" customHeight="1">
      <c r="A130" s="171"/>
      <c r="B130" s="171"/>
      <c r="C130" s="171">
        <v>14</v>
      </c>
      <c r="D130" s="172" t="s">
        <v>211</v>
      </c>
      <c r="E130" s="25">
        <v>19</v>
      </c>
      <c r="F130" s="209">
        <v>1.5</v>
      </c>
      <c r="G130" s="174"/>
      <c r="H130" s="25">
        <v>50</v>
      </c>
      <c r="I130" s="171">
        <v>1</v>
      </c>
      <c r="J130" s="23">
        <f t="shared" si="20"/>
        <v>31.5</v>
      </c>
      <c r="K130" s="23">
        <f t="shared" si="21"/>
        <v>5.5</v>
      </c>
      <c r="L130" s="23">
        <f t="shared" si="22"/>
        <v>37</v>
      </c>
      <c r="M130" s="416">
        <v>0.56999999999999995</v>
      </c>
      <c r="N130" s="416">
        <f t="shared" si="19"/>
        <v>19.448399999999996</v>
      </c>
      <c r="O130" s="144"/>
      <c r="P130" s="142"/>
    </row>
    <row r="131" spans="1:16" s="72" customFormat="1" ht="21.95" customHeight="1">
      <c r="A131" s="171"/>
      <c r="B131" s="171"/>
      <c r="C131" s="171">
        <v>15</v>
      </c>
      <c r="D131" s="172" t="s">
        <v>212</v>
      </c>
      <c r="E131" s="25">
        <v>98</v>
      </c>
      <c r="F131" s="209">
        <v>1</v>
      </c>
      <c r="G131" s="173"/>
      <c r="H131" s="25">
        <v>50</v>
      </c>
      <c r="I131" s="171">
        <v>1</v>
      </c>
      <c r="J131" s="23">
        <f t="shared" si="20"/>
        <v>24</v>
      </c>
      <c r="K131" s="23">
        <f t="shared" si="21"/>
        <v>4</v>
      </c>
      <c r="L131" s="23">
        <f t="shared" si="22"/>
        <v>28</v>
      </c>
      <c r="M131" s="416">
        <v>0.56999999999999995</v>
      </c>
      <c r="N131" s="416">
        <f t="shared" si="19"/>
        <v>19.448399999999996</v>
      </c>
      <c r="O131" s="144"/>
      <c r="P131" s="142"/>
    </row>
    <row r="132" spans="1:16" s="72" customFormat="1" ht="21.95" customHeight="1">
      <c r="A132" s="171"/>
      <c r="B132" s="171"/>
      <c r="C132" s="171">
        <v>16</v>
      </c>
      <c r="D132" s="172" t="s">
        <v>213</v>
      </c>
      <c r="E132" s="25">
        <v>40</v>
      </c>
      <c r="F132" s="209">
        <v>2</v>
      </c>
      <c r="G132" s="173"/>
      <c r="H132" s="25">
        <v>50</v>
      </c>
      <c r="I132" s="171">
        <v>1</v>
      </c>
      <c r="J132" s="23">
        <f t="shared" si="20"/>
        <v>39</v>
      </c>
      <c r="K132" s="23">
        <f t="shared" si="21"/>
        <v>7</v>
      </c>
      <c r="L132" s="23">
        <f t="shared" si="22"/>
        <v>46</v>
      </c>
      <c r="M132" s="416">
        <v>0.56999999999999995</v>
      </c>
      <c r="N132" s="416">
        <f t="shared" si="19"/>
        <v>19.448399999999996</v>
      </c>
      <c r="O132" s="144"/>
      <c r="P132" s="142"/>
    </row>
    <row r="133" spans="1:16" s="72" customFormat="1" ht="21.95" customHeight="1">
      <c r="A133" s="175"/>
      <c r="B133" s="175"/>
      <c r="C133" s="175">
        <v>17</v>
      </c>
      <c r="D133" s="176" t="s">
        <v>214</v>
      </c>
      <c r="E133" s="32">
        <v>40</v>
      </c>
      <c r="F133" s="210">
        <v>1.8</v>
      </c>
      <c r="G133" s="224"/>
      <c r="H133" s="32">
        <v>50</v>
      </c>
      <c r="I133" s="175">
        <v>1</v>
      </c>
      <c r="J133" s="30">
        <f t="shared" si="20"/>
        <v>36</v>
      </c>
      <c r="K133" s="30">
        <f t="shared" si="21"/>
        <v>6.4</v>
      </c>
      <c r="L133" s="30">
        <f t="shared" si="22"/>
        <v>42.4</v>
      </c>
      <c r="M133" s="417">
        <v>0.56999999999999995</v>
      </c>
      <c r="N133" s="417">
        <f t="shared" si="19"/>
        <v>19.448399999999996</v>
      </c>
      <c r="O133" s="144"/>
      <c r="P133" s="142"/>
    </row>
    <row r="134" spans="1:16" s="72" customFormat="1">
      <c r="A134" s="131"/>
      <c r="B134" s="131"/>
      <c r="C134" s="131"/>
      <c r="E134" s="126"/>
      <c r="F134" s="130"/>
      <c r="G134" s="130"/>
      <c r="H134" s="126"/>
      <c r="I134" s="131"/>
      <c r="J134" s="128"/>
      <c r="K134" s="128"/>
      <c r="L134" s="128"/>
      <c r="M134" s="424"/>
      <c r="N134" s="419"/>
      <c r="O134" s="144"/>
      <c r="P134" s="142"/>
    </row>
    <row r="135" spans="1:16" s="72" customFormat="1">
      <c r="A135" s="131"/>
      <c r="B135" s="131"/>
      <c r="C135" s="131"/>
      <c r="E135" s="126"/>
      <c r="F135" s="130"/>
      <c r="G135" s="130"/>
      <c r="H135" s="126"/>
      <c r="I135" s="131"/>
      <c r="J135" s="128"/>
      <c r="K135" s="128"/>
      <c r="L135" s="128"/>
      <c r="M135" s="424"/>
      <c r="N135" s="419"/>
      <c r="O135" s="144"/>
      <c r="P135" s="142"/>
    </row>
    <row r="136" spans="1:16" s="72" customFormat="1">
      <c r="A136" s="131"/>
      <c r="B136" s="131"/>
      <c r="C136" s="131"/>
      <c r="E136" s="126"/>
      <c r="F136" s="130"/>
      <c r="G136" s="130"/>
      <c r="H136" s="126"/>
      <c r="I136" s="131"/>
      <c r="J136" s="128"/>
      <c r="K136" s="128"/>
      <c r="L136" s="128"/>
      <c r="M136" s="424"/>
      <c r="N136" s="419"/>
      <c r="O136" s="144"/>
      <c r="P136" s="142"/>
    </row>
    <row r="137" spans="1:16" s="72" customFormat="1">
      <c r="A137" s="131"/>
      <c r="B137" s="131"/>
      <c r="C137" s="131"/>
      <c r="E137" s="126"/>
      <c r="F137" s="130"/>
      <c r="G137" s="130"/>
      <c r="H137" s="126"/>
      <c r="I137" s="131"/>
      <c r="J137" s="128"/>
      <c r="K137" s="128"/>
      <c r="L137" s="128"/>
      <c r="M137" s="424"/>
      <c r="N137" s="419"/>
      <c r="O137" s="144"/>
      <c r="P137" s="142"/>
    </row>
    <row r="138" spans="1:16" s="72" customFormat="1">
      <c r="A138" s="131"/>
      <c r="B138" s="131"/>
      <c r="C138" s="131"/>
      <c r="E138" s="126"/>
      <c r="F138" s="130"/>
      <c r="G138" s="130"/>
      <c r="H138" s="126"/>
      <c r="I138" s="131"/>
      <c r="J138" s="128"/>
      <c r="K138" s="128"/>
      <c r="L138" s="128"/>
      <c r="M138" s="424"/>
      <c r="N138" s="419"/>
      <c r="O138" s="144"/>
      <c r="P138" s="142"/>
    </row>
    <row r="139" spans="1:16" s="5" customFormat="1" ht="27.75" customHeight="1">
      <c r="A139" s="654" t="s">
        <v>1</v>
      </c>
      <c r="B139" s="632" t="s">
        <v>755</v>
      </c>
      <c r="C139" s="646" t="s">
        <v>21</v>
      </c>
      <c r="D139" s="647"/>
      <c r="E139" s="652" t="s">
        <v>756</v>
      </c>
      <c r="F139" s="654" t="s">
        <v>3</v>
      </c>
      <c r="G139" s="654"/>
      <c r="H139" s="654"/>
      <c r="I139" s="654"/>
      <c r="J139" s="654" t="s">
        <v>761</v>
      </c>
      <c r="K139" s="654"/>
      <c r="L139" s="654"/>
      <c r="M139" s="644" t="s">
        <v>857</v>
      </c>
      <c r="N139" s="644"/>
    </row>
    <row r="140" spans="1:16" s="5" customFormat="1" ht="40.5" customHeight="1">
      <c r="A140" s="654"/>
      <c r="B140" s="633"/>
      <c r="C140" s="648"/>
      <c r="D140" s="649"/>
      <c r="E140" s="652"/>
      <c r="F140" s="652" t="s">
        <v>757</v>
      </c>
      <c r="G140" s="652" t="s">
        <v>5</v>
      </c>
      <c r="H140" s="652" t="s">
        <v>6</v>
      </c>
      <c r="I140" s="652"/>
      <c r="J140" s="652" t="s">
        <v>22</v>
      </c>
      <c r="K140" s="652" t="s">
        <v>762</v>
      </c>
      <c r="L140" s="654" t="s">
        <v>8</v>
      </c>
      <c r="M140" s="644"/>
      <c r="N140" s="644"/>
    </row>
    <row r="141" spans="1:16" s="5" customFormat="1" ht="58.5" customHeight="1">
      <c r="A141" s="632"/>
      <c r="B141" s="634"/>
      <c r="C141" s="650"/>
      <c r="D141" s="651"/>
      <c r="E141" s="653"/>
      <c r="F141" s="653"/>
      <c r="G141" s="653"/>
      <c r="H141" s="381" t="s">
        <v>9</v>
      </c>
      <c r="I141" s="381" t="s">
        <v>10</v>
      </c>
      <c r="J141" s="653"/>
      <c r="K141" s="632"/>
      <c r="L141" s="632"/>
      <c r="M141" s="382" t="s">
        <v>753</v>
      </c>
      <c r="N141" s="383" t="s">
        <v>754</v>
      </c>
    </row>
    <row r="142" spans="1:16" s="72" customFormat="1" ht="23.1" customHeight="1">
      <c r="A142" s="140"/>
      <c r="B142" s="169" t="s">
        <v>13</v>
      </c>
      <c r="C142" s="140">
        <v>18</v>
      </c>
      <c r="D142" s="141" t="s">
        <v>215</v>
      </c>
      <c r="E142" s="7">
        <v>47</v>
      </c>
      <c r="F142" s="145">
        <v>2.5</v>
      </c>
      <c r="G142" s="143"/>
      <c r="H142" s="7">
        <v>50</v>
      </c>
      <c r="I142" s="140">
        <v>1</v>
      </c>
      <c r="J142" s="61">
        <f t="shared" si="20"/>
        <v>46.5</v>
      </c>
      <c r="K142" s="61">
        <f t="shared" si="21"/>
        <v>8.5</v>
      </c>
      <c r="L142" s="61">
        <f t="shared" si="22"/>
        <v>55</v>
      </c>
      <c r="M142" s="415">
        <v>0.56999999999999995</v>
      </c>
      <c r="N142" s="415">
        <f t="shared" ref="N142:N152" si="23">M142*34.12</f>
        <v>19.448399999999996</v>
      </c>
      <c r="O142" s="144"/>
      <c r="P142" s="142"/>
    </row>
    <row r="143" spans="1:16" s="72" customFormat="1" ht="23.1" customHeight="1">
      <c r="A143" s="140"/>
      <c r="B143" s="171" t="s">
        <v>780</v>
      </c>
      <c r="C143" s="140">
        <v>19</v>
      </c>
      <c r="D143" s="141" t="s">
        <v>216</v>
      </c>
      <c r="E143" s="7">
        <v>38</v>
      </c>
      <c r="F143" s="145">
        <v>2</v>
      </c>
      <c r="G143" s="143"/>
      <c r="H143" s="7">
        <v>50</v>
      </c>
      <c r="I143" s="140">
        <v>1</v>
      </c>
      <c r="J143" s="61">
        <f t="shared" si="20"/>
        <v>39</v>
      </c>
      <c r="K143" s="61">
        <f t="shared" si="21"/>
        <v>7</v>
      </c>
      <c r="L143" s="61">
        <f t="shared" si="22"/>
        <v>46</v>
      </c>
      <c r="M143" s="415">
        <v>0.56999999999999995</v>
      </c>
      <c r="N143" s="415">
        <f t="shared" si="23"/>
        <v>19.448399999999996</v>
      </c>
      <c r="O143" s="144"/>
      <c r="P143" s="142"/>
    </row>
    <row r="144" spans="1:16" s="72" customFormat="1" ht="23.1" customHeight="1">
      <c r="A144" s="140"/>
      <c r="B144" s="140"/>
      <c r="C144" s="140">
        <v>20</v>
      </c>
      <c r="D144" s="141" t="s">
        <v>217</v>
      </c>
      <c r="E144" s="7">
        <v>110</v>
      </c>
      <c r="F144" s="145">
        <v>1</v>
      </c>
      <c r="G144" s="143"/>
      <c r="H144" s="7">
        <v>50</v>
      </c>
      <c r="I144" s="140">
        <v>1</v>
      </c>
      <c r="J144" s="61">
        <f t="shared" si="20"/>
        <v>24</v>
      </c>
      <c r="K144" s="61">
        <f t="shared" si="21"/>
        <v>4</v>
      </c>
      <c r="L144" s="61">
        <f t="shared" si="22"/>
        <v>28</v>
      </c>
      <c r="M144" s="415">
        <v>0.56999999999999995</v>
      </c>
      <c r="N144" s="415">
        <f t="shared" si="23"/>
        <v>19.448399999999996</v>
      </c>
      <c r="O144" s="144"/>
      <c r="P144" s="142"/>
    </row>
    <row r="145" spans="1:16" s="72" customFormat="1" ht="23.1" customHeight="1">
      <c r="A145" s="140"/>
      <c r="B145" s="140"/>
      <c r="C145" s="140">
        <v>21</v>
      </c>
      <c r="D145" s="141" t="s">
        <v>218</v>
      </c>
      <c r="E145" s="7">
        <v>53</v>
      </c>
      <c r="F145" s="145">
        <v>0.5</v>
      </c>
      <c r="G145" s="143"/>
      <c r="H145" s="7">
        <v>50</v>
      </c>
      <c r="I145" s="140">
        <v>1</v>
      </c>
      <c r="J145" s="61">
        <f t="shared" si="20"/>
        <v>16.5</v>
      </c>
      <c r="K145" s="61">
        <f t="shared" si="21"/>
        <v>2.5</v>
      </c>
      <c r="L145" s="61">
        <f t="shared" si="22"/>
        <v>19</v>
      </c>
      <c r="M145" s="415">
        <v>0.56999999999999995</v>
      </c>
      <c r="N145" s="415">
        <f t="shared" si="23"/>
        <v>19.448399999999996</v>
      </c>
      <c r="O145" s="144"/>
      <c r="P145" s="142"/>
    </row>
    <row r="146" spans="1:16" s="72" customFormat="1" ht="23.1" customHeight="1">
      <c r="A146" s="140"/>
      <c r="B146" s="140"/>
      <c r="C146" s="140">
        <v>22</v>
      </c>
      <c r="D146" s="141" t="s">
        <v>219</v>
      </c>
      <c r="E146" s="7">
        <v>12</v>
      </c>
      <c r="F146" s="145">
        <v>0.5</v>
      </c>
      <c r="G146" s="143"/>
      <c r="H146" s="7">
        <v>50</v>
      </c>
      <c r="I146" s="140">
        <v>1</v>
      </c>
      <c r="J146" s="61">
        <f t="shared" si="20"/>
        <v>16.5</v>
      </c>
      <c r="K146" s="61">
        <f t="shared" si="21"/>
        <v>2.5</v>
      </c>
      <c r="L146" s="61">
        <f t="shared" si="22"/>
        <v>19</v>
      </c>
      <c r="M146" s="415">
        <v>0.56999999999999995</v>
      </c>
      <c r="N146" s="415">
        <f t="shared" si="23"/>
        <v>19.448399999999996</v>
      </c>
      <c r="O146" s="144"/>
      <c r="P146" s="142"/>
    </row>
    <row r="147" spans="1:16" s="72" customFormat="1" ht="23.1" customHeight="1">
      <c r="A147" s="140"/>
      <c r="B147" s="140"/>
      <c r="C147" s="140">
        <v>23</v>
      </c>
      <c r="D147" s="141" t="s">
        <v>220</v>
      </c>
      <c r="E147" s="7">
        <v>155</v>
      </c>
      <c r="F147" s="145">
        <v>2</v>
      </c>
      <c r="G147" s="143"/>
      <c r="H147" s="7">
        <v>50</v>
      </c>
      <c r="I147" s="140">
        <v>1</v>
      </c>
      <c r="J147" s="61">
        <f t="shared" si="20"/>
        <v>39</v>
      </c>
      <c r="K147" s="61">
        <f t="shared" si="21"/>
        <v>7</v>
      </c>
      <c r="L147" s="61">
        <f t="shared" si="22"/>
        <v>46</v>
      </c>
      <c r="M147" s="415">
        <v>0.56999999999999995</v>
      </c>
      <c r="N147" s="415">
        <f t="shared" si="23"/>
        <v>19.448399999999996</v>
      </c>
      <c r="O147" s="144"/>
      <c r="P147" s="142"/>
    </row>
    <row r="148" spans="1:16" s="72" customFormat="1" ht="23.1" customHeight="1">
      <c r="A148" s="140"/>
      <c r="B148" s="140"/>
      <c r="C148" s="140">
        <v>24</v>
      </c>
      <c r="D148" s="141" t="s">
        <v>221</v>
      </c>
      <c r="E148" s="7">
        <v>40</v>
      </c>
      <c r="F148" s="145">
        <v>2</v>
      </c>
      <c r="G148" s="143"/>
      <c r="H148" s="7">
        <v>50</v>
      </c>
      <c r="I148" s="140">
        <v>1</v>
      </c>
      <c r="J148" s="61">
        <f t="shared" si="20"/>
        <v>39</v>
      </c>
      <c r="K148" s="61">
        <f t="shared" si="21"/>
        <v>7</v>
      </c>
      <c r="L148" s="61">
        <f t="shared" si="22"/>
        <v>46</v>
      </c>
      <c r="M148" s="415">
        <v>0.56999999999999995</v>
      </c>
      <c r="N148" s="415">
        <f t="shared" si="23"/>
        <v>19.448399999999996</v>
      </c>
      <c r="O148" s="144"/>
      <c r="P148" s="142"/>
    </row>
    <row r="149" spans="1:16" s="72" customFormat="1" ht="23.1" customHeight="1">
      <c r="A149" s="140"/>
      <c r="B149" s="140"/>
      <c r="C149" s="140">
        <v>25</v>
      </c>
      <c r="D149" s="141" t="s">
        <v>139</v>
      </c>
      <c r="E149" s="7">
        <v>63</v>
      </c>
      <c r="F149" s="145">
        <v>2</v>
      </c>
      <c r="G149" s="143"/>
      <c r="H149" s="7">
        <v>50</v>
      </c>
      <c r="I149" s="140">
        <v>1</v>
      </c>
      <c r="J149" s="61">
        <f t="shared" si="20"/>
        <v>39</v>
      </c>
      <c r="K149" s="61">
        <f t="shared" si="21"/>
        <v>7</v>
      </c>
      <c r="L149" s="61">
        <f t="shared" si="22"/>
        <v>46</v>
      </c>
      <c r="M149" s="415">
        <v>0.56999999999999995</v>
      </c>
      <c r="N149" s="415">
        <f t="shared" si="23"/>
        <v>19.448399999999996</v>
      </c>
      <c r="O149" s="144"/>
      <c r="P149" s="142"/>
    </row>
    <row r="150" spans="1:16" s="72" customFormat="1" ht="23.1" customHeight="1">
      <c r="A150" s="140"/>
      <c r="B150" s="140"/>
      <c r="C150" s="140">
        <v>26</v>
      </c>
      <c r="D150" s="141" t="s">
        <v>222</v>
      </c>
      <c r="E150" s="7">
        <v>69</v>
      </c>
      <c r="F150" s="145">
        <v>2</v>
      </c>
      <c r="G150" s="143"/>
      <c r="H150" s="7">
        <v>50</v>
      </c>
      <c r="I150" s="140">
        <v>1</v>
      </c>
      <c r="J150" s="61">
        <f t="shared" si="20"/>
        <v>39</v>
      </c>
      <c r="K150" s="61">
        <f t="shared" si="21"/>
        <v>7</v>
      </c>
      <c r="L150" s="61">
        <f t="shared" si="22"/>
        <v>46</v>
      </c>
      <c r="M150" s="415">
        <v>0.56999999999999995</v>
      </c>
      <c r="N150" s="415">
        <f t="shared" si="23"/>
        <v>19.448399999999996</v>
      </c>
      <c r="O150" s="144"/>
      <c r="P150" s="142"/>
    </row>
    <row r="151" spans="1:16" s="72" customFormat="1" ht="23.1" customHeight="1">
      <c r="A151" s="140"/>
      <c r="B151" s="140"/>
      <c r="C151" s="140">
        <v>27</v>
      </c>
      <c r="D151" s="141" t="s">
        <v>223</v>
      </c>
      <c r="E151" s="7">
        <v>220</v>
      </c>
      <c r="F151" s="145">
        <v>2</v>
      </c>
      <c r="G151" s="143"/>
      <c r="H151" s="7">
        <v>100</v>
      </c>
      <c r="I151" s="140">
        <v>1</v>
      </c>
      <c r="J151" s="61">
        <v>40</v>
      </c>
      <c r="K151" s="61">
        <f>F151*3+1</f>
        <v>7</v>
      </c>
      <c r="L151" s="61">
        <v>47</v>
      </c>
      <c r="M151" s="415">
        <v>0.76</v>
      </c>
      <c r="N151" s="415">
        <f t="shared" si="23"/>
        <v>25.931199999999997</v>
      </c>
      <c r="O151" s="144"/>
      <c r="P151" s="142"/>
    </row>
    <row r="152" spans="1:16" s="72" customFormat="1" ht="23.1" customHeight="1">
      <c r="A152" s="140"/>
      <c r="B152" s="140"/>
      <c r="C152" s="140">
        <v>28</v>
      </c>
      <c r="D152" s="141" t="s">
        <v>224</v>
      </c>
      <c r="E152" s="7">
        <v>47</v>
      </c>
      <c r="F152" s="145">
        <v>2</v>
      </c>
      <c r="G152" s="143"/>
      <c r="H152" s="7">
        <v>50</v>
      </c>
      <c r="I152" s="140">
        <v>1</v>
      </c>
      <c r="J152" s="61">
        <f>F152*15+9</f>
        <v>39</v>
      </c>
      <c r="K152" s="61">
        <f>F152*3+1</f>
        <v>7</v>
      </c>
      <c r="L152" s="61">
        <f>F152*18+10</f>
        <v>46</v>
      </c>
      <c r="M152" s="415">
        <v>0.56999999999999995</v>
      </c>
      <c r="N152" s="415">
        <f t="shared" si="23"/>
        <v>19.448399999999996</v>
      </c>
      <c r="O152" s="144"/>
      <c r="P152" s="142"/>
    </row>
    <row r="153" spans="1:16" s="5" customFormat="1" ht="23.1" customHeight="1">
      <c r="A153" s="186"/>
      <c r="B153" s="186" t="s">
        <v>759</v>
      </c>
      <c r="C153" s="186"/>
      <c r="D153" s="187" t="s">
        <v>781</v>
      </c>
      <c r="E153" s="66">
        <f>SUM(E117:E152)</f>
        <v>2072</v>
      </c>
      <c r="F153" s="220">
        <f>SUM(F117:F152)</f>
        <v>38.299999999999997</v>
      </c>
      <c r="G153" s="220"/>
      <c r="H153" s="66">
        <f t="shared" ref="H153:N153" si="24">SUM(H117:H152)</f>
        <v>1500</v>
      </c>
      <c r="I153" s="66">
        <f t="shared" si="24"/>
        <v>28</v>
      </c>
      <c r="J153" s="69">
        <f t="shared" si="24"/>
        <v>828.5</v>
      </c>
      <c r="K153" s="69">
        <f t="shared" si="24"/>
        <v>142.9</v>
      </c>
      <c r="L153" s="69">
        <f t="shared" si="24"/>
        <v>971.4</v>
      </c>
      <c r="M153" s="420">
        <f t="shared" si="24"/>
        <v>16.340000000000003</v>
      </c>
      <c r="N153" s="420">
        <f t="shared" si="24"/>
        <v>557.52079999999989</v>
      </c>
      <c r="O153" s="3"/>
      <c r="P153" s="4"/>
    </row>
    <row r="154" spans="1:16" s="72" customFormat="1">
      <c r="A154" s="125"/>
      <c r="B154" s="125"/>
      <c r="C154" s="125"/>
      <c r="D154" s="125"/>
      <c r="E154" s="126"/>
      <c r="F154" s="129"/>
      <c r="G154" s="129"/>
      <c r="H154" s="126"/>
      <c r="I154" s="131"/>
      <c r="J154" s="128"/>
      <c r="K154" s="128"/>
      <c r="L154" s="128"/>
      <c r="M154" s="419"/>
      <c r="N154" s="419"/>
      <c r="O154" s="144"/>
      <c r="P154" s="142"/>
    </row>
    <row r="155" spans="1:16" s="72" customFormat="1">
      <c r="A155" s="125"/>
      <c r="B155" s="125"/>
      <c r="C155" s="125"/>
      <c r="D155" s="125"/>
      <c r="E155" s="126"/>
      <c r="F155" s="129"/>
      <c r="G155" s="129"/>
      <c r="H155" s="126"/>
      <c r="I155" s="131"/>
      <c r="J155" s="128"/>
      <c r="K155" s="128"/>
      <c r="L155" s="128"/>
      <c r="M155" s="419"/>
      <c r="N155" s="419"/>
      <c r="O155" s="144"/>
      <c r="P155" s="142"/>
    </row>
    <row r="156" spans="1:16" s="72" customFormat="1">
      <c r="A156" s="125"/>
      <c r="B156" s="125"/>
      <c r="C156" s="125"/>
      <c r="D156" s="125"/>
      <c r="E156" s="126"/>
      <c r="F156" s="129"/>
      <c r="G156" s="129"/>
      <c r="H156" s="126"/>
      <c r="I156" s="131"/>
      <c r="J156" s="128"/>
      <c r="K156" s="128"/>
      <c r="L156" s="128"/>
      <c r="M156" s="419"/>
      <c r="N156" s="419"/>
      <c r="O156" s="144"/>
      <c r="P156" s="142"/>
    </row>
    <row r="157" spans="1:16" s="72" customFormat="1">
      <c r="A157" s="125"/>
      <c r="B157" s="125"/>
      <c r="C157" s="125"/>
      <c r="D157" s="125"/>
      <c r="E157" s="126"/>
      <c r="F157" s="129"/>
      <c r="G157" s="129"/>
      <c r="H157" s="126"/>
      <c r="I157" s="131"/>
      <c r="J157" s="128"/>
      <c r="K157" s="128"/>
      <c r="L157" s="128"/>
      <c r="M157" s="419"/>
      <c r="N157" s="419"/>
      <c r="O157" s="144"/>
      <c r="P157" s="142"/>
    </row>
    <row r="158" spans="1:16" s="72" customFormat="1">
      <c r="A158" s="125"/>
      <c r="B158" s="125"/>
      <c r="C158" s="125"/>
      <c r="D158" s="125"/>
      <c r="E158" s="126"/>
      <c r="F158" s="129"/>
      <c r="G158" s="129"/>
      <c r="H158" s="126"/>
      <c r="I158" s="131"/>
      <c r="J158" s="128"/>
      <c r="K158" s="128"/>
      <c r="L158" s="128"/>
      <c r="M158" s="419"/>
      <c r="N158" s="419"/>
      <c r="O158" s="144"/>
      <c r="P158" s="142"/>
    </row>
    <row r="159" spans="1:16" s="72" customFormat="1">
      <c r="A159" s="125"/>
      <c r="B159" s="125"/>
      <c r="C159" s="125"/>
      <c r="D159" s="125"/>
      <c r="E159" s="126"/>
      <c r="F159" s="129"/>
      <c r="G159" s="129"/>
      <c r="H159" s="126"/>
      <c r="I159" s="131"/>
      <c r="J159" s="128"/>
      <c r="K159" s="128"/>
      <c r="L159" s="128"/>
      <c r="M159" s="419"/>
      <c r="N159" s="419"/>
      <c r="O159" s="144"/>
      <c r="P159" s="142"/>
    </row>
    <row r="160" spans="1:16" s="72" customFormat="1">
      <c r="A160" s="125"/>
      <c r="B160" s="125"/>
      <c r="C160" s="125"/>
      <c r="D160" s="125"/>
      <c r="E160" s="126"/>
      <c r="F160" s="129"/>
      <c r="G160" s="129"/>
      <c r="H160" s="126"/>
      <c r="I160" s="131"/>
      <c r="J160" s="128"/>
      <c r="K160" s="128"/>
      <c r="L160" s="128"/>
      <c r="M160" s="419"/>
      <c r="N160" s="419"/>
      <c r="O160" s="144"/>
      <c r="P160" s="142"/>
    </row>
    <row r="161" spans="1:16" s="72" customFormat="1">
      <c r="A161" s="125"/>
      <c r="B161" s="125"/>
      <c r="C161" s="125"/>
      <c r="D161" s="125"/>
      <c r="E161" s="126"/>
      <c r="F161" s="129"/>
      <c r="G161" s="129"/>
      <c r="H161" s="126"/>
      <c r="I161" s="131"/>
      <c r="J161" s="128"/>
      <c r="K161" s="128"/>
      <c r="L161" s="128"/>
      <c r="M161" s="419"/>
      <c r="N161" s="419"/>
      <c r="O161" s="144"/>
      <c r="P161" s="142"/>
    </row>
    <row r="162" spans="1:16" s="72" customFormat="1">
      <c r="A162" s="125"/>
      <c r="B162" s="125"/>
      <c r="C162" s="125"/>
      <c r="D162" s="125"/>
      <c r="E162" s="126"/>
      <c r="F162" s="129"/>
      <c r="G162" s="129"/>
      <c r="H162" s="126"/>
      <c r="I162" s="131"/>
      <c r="J162" s="128"/>
      <c r="K162" s="128"/>
      <c r="L162" s="128"/>
      <c r="M162" s="419"/>
      <c r="N162" s="419"/>
      <c r="O162" s="144"/>
      <c r="P162" s="142"/>
    </row>
    <row r="163" spans="1:16" s="72" customFormat="1">
      <c r="A163" s="125"/>
      <c r="B163" s="125"/>
      <c r="C163" s="125"/>
      <c r="D163" s="125"/>
      <c r="E163" s="126"/>
      <c r="F163" s="129"/>
      <c r="G163" s="129"/>
      <c r="H163" s="126"/>
      <c r="I163" s="131"/>
      <c r="J163" s="128"/>
      <c r="K163" s="128"/>
      <c r="L163" s="128"/>
      <c r="M163" s="419"/>
      <c r="N163" s="419"/>
      <c r="O163" s="144"/>
      <c r="P163" s="142"/>
    </row>
    <row r="164" spans="1:16" ht="21" customHeight="1">
      <c r="A164" s="695" t="s">
        <v>225</v>
      </c>
      <c r="B164" s="695"/>
      <c r="C164" s="695"/>
      <c r="D164" s="695"/>
      <c r="E164" s="695"/>
      <c r="F164" s="695"/>
      <c r="G164" s="695"/>
      <c r="H164" s="695"/>
      <c r="I164" s="695"/>
      <c r="J164" s="695"/>
      <c r="K164" s="695"/>
      <c r="L164" s="695"/>
    </row>
    <row r="165" spans="1:16" s="5" customFormat="1" ht="27.75" customHeight="1">
      <c r="A165" s="654" t="s">
        <v>1</v>
      </c>
      <c r="B165" s="632" t="s">
        <v>755</v>
      </c>
      <c r="C165" s="646" t="s">
        <v>21</v>
      </c>
      <c r="D165" s="647"/>
      <c r="E165" s="652" t="s">
        <v>756</v>
      </c>
      <c r="F165" s="654" t="s">
        <v>3</v>
      </c>
      <c r="G165" s="654"/>
      <c r="H165" s="654"/>
      <c r="I165" s="654"/>
      <c r="J165" s="654" t="s">
        <v>761</v>
      </c>
      <c r="K165" s="654"/>
      <c r="L165" s="654"/>
      <c r="M165" s="644" t="s">
        <v>857</v>
      </c>
      <c r="N165" s="644"/>
    </row>
    <row r="166" spans="1:16" s="5" customFormat="1" ht="40.5" customHeight="1">
      <c r="A166" s="654"/>
      <c r="B166" s="633"/>
      <c r="C166" s="648"/>
      <c r="D166" s="649"/>
      <c r="E166" s="652"/>
      <c r="F166" s="652" t="s">
        <v>757</v>
      </c>
      <c r="G166" s="652" t="s">
        <v>5</v>
      </c>
      <c r="H166" s="652" t="s">
        <v>6</v>
      </c>
      <c r="I166" s="652"/>
      <c r="J166" s="652" t="s">
        <v>22</v>
      </c>
      <c r="K166" s="652" t="s">
        <v>762</v>
      </c>
      <c r="L166" s="654" t="s">
        <v>8</v>
      </c>
      <c r="M166" s="644"/>
      <c r="N166" s="644"/>
    </row>
    <row r="167" spans="1:16" s="5" customFormat="1" ht="58.5" customHeight="1">
      <c r="A167" s="632"/>
      <c r="B167" s="634"/>
      <c r="C167" s="650"/>
      <c r="D167" s="651"/>
      <c r="E167" s="653"/>
      <c r="F167" s="653"/>
      <c r="G167" s="653"/>
      <c r="H167" s="381" t="s">
        <v>9</v>
      </c>
      <c r="I167" s="381" t="s">
        <v>10</v>
      </c>
      <c r="J167" s="653"/>
      <c r="K167" s="632"/>
      <c r="L167" s="632"/>
      <c r="M167" s="382" t="s">
        <v>753</v>
      </c>
      <c r="N167" s="383" t="s">
        <v>754</v>
      </c>
    </row>
    <row r="168" spans="1:16" s="72" customFormat="1" ht="21" customHeight="1">
      <c r="A168" s="169"/>
      <c r="B168" s="169" t="s">
        <v>13</v>
      </c>
      <c r="C168" s="169">
        <v>1</v>
      </c>
      <c r="D168" s="170" t="s">
        <v>226</v>
      </c>
      <c r="E168" s="19">
        <v>47</v>
      </c>
      <c r="F168" s="727">
        <v>1.5</v>
      </c>
      <c r="G168" s="728"/>
      <c r="H168" s="729">
        <v>100</v>
      </c>
      <c r="I168" s="729">
        <v>2</v>
      </c>
      <c r="J168" s="725">
        <f>F168*15+20</f>
        <v>42.5</v>
      </c>
      <c r="K168" s="725">
        <f>F168*3+2</f>
        <v>6.5</v>
      </c>
      <c r="L168" s="725">
        <f>F168*18+22</f>
        <v>49</v>
      </c>
      <c r="M168" s="705">
        <v>1.52</v>
      </c>
      <c r="N168" s="705">
        <f>M168*34.12</f>
        <v>51.862399999999994</v>
      </c>
      <c r="O168" s="144"/>
      <c r="P168" s="142"/>
    </row>
    <row r="169" spans="1:16" s="72" customFormat="1" ht="21" customHeight="1">
      <c r="A169" s="171"/>
      <c r="B169" s="171" t="s">
        <v>860</v>
      </c>
      <c r="C169" s="171">
        <v>2</v>
      </c>
      <c r="D169" s="172" t="s">
        <v>227</v>
      </c>
      <c r="E169" s="25">
        <v>191</v>
      </c>
      <c r="F169" s="708"/>
      <c r="G169" s="726"/>
      <c r="H169" s="721"/>
      <c r="I169" s="710"/>
      <c r="J169" s="693"/>
      <c r="K169" s="693"/>
      <c r="L169" s="693"/>
      <c r="M169" s="692"/>
      <c r="N169" s="692"/>
      <c r="O169" s="144"/>
      <c r="P169" s="142"/>
    </row>
    <row r="170" spans="1:16" s="72" customFormat="1" ht="21" customHeight="1">
      <c r="A170" s="171"/>
      <c r="B170" s="171"/>
      <c r="C170" s="171">
        <v>3</v>
      </c>
      <c r="D170" s="172" t="s">
        <v>228</v>
      </c>
      <c r="E170" s="25">
        <v>255</v>
      </c>
      <c r="F170" s="708"/>
      <c r="G170" s="726"/>
      <c r="H170" s="721"/>
      <c r="I170" s="710"/>
      <c r="J170" s="693"/>
      <c r="K170" s="693"/>
      <c r="L170" s="693"/>
      <c r="M170" s="692"/>
      <c r="N170" s="692"/>
      <c r="O170" s="144"/>
      <c r="P170" s="142"/>
    </row>
    <row r="171" spans="1:16" s="72" customFormat="1" ht="21" customHeight="1">
      <c r="A171" s="171"/>
      <c r="B171" s="171"/>
      <c r="C171" s="171">
        <v>4</v>
      </c>
      <c r="D171" s="172" t="s">
        <v>229</v>
      </c>
      <c r="E171" s="25">
        <v>26</v>
      </c>
      <c r="F171" s="708">
        <v>1</v>
      </c>
      <c r="G171" s="726"/>
      <c r="H171" s="710">
        <v>100</v>
      </c>
      <c r="I171" s="710">
        <v>2</v>
      </c>
      <c r="J171" s="693">
        <f>F171*15+20</f>
        <v>35</v>
      </c>
      <c r="K171" s="693">
        <f>F171*3+2</f>
        <v>5</v>
      </c>
      <c r="L171" s="693">
        <f>F171*18+22</f>
        <v>40</v>
      </c>
      <c r="M171" s="692">
        <v>1.52</v>
      </c>
      <c r="N171" s="692">
        <f>M171*34.12</f>
        <v>51.862399999999994</v>
      </c>
      <c r="O171" s="144"/>
      <c r="P171" s="142"/>
    </row>
    <row r="172" spans="1:16" s="72" customFormat="1" ht="21" customHeight="1">
      <c r="A172" s="171"/>
      <c r="B172" s="171"/>
      <c r="C172" s="171">
        <v>5</v>
      </c>
      <c r="D172" s="172" t="s">
        <v>230</v>
      </c>
      <c r="E172" s="25">
        <v>21</v>
      </c>
      <c r="F172" s="708"/>
      <c r="G172" s="726"/>
      <c r="H172" s="721"/>
      <c r="I172" s="721"/>
      <c r="J172" s="693"/>
      <c r="K172" s="693"/>
      <c r="L172" s="693"/>
      <c r="M172" s="692"/>
      <c r="N172" s="692"/>
      <c r="O172" s="144"/>
      <c r="P172" s="142"/>
    </row>
    <row r="173" spans="1:16" s="72" customFormat="1" ht="21" customHeight="1">
      <c r="A173" s="171"/>
      <c r="B173" s="171"/>
      <c r="C173" s="171">
        <v>6</v>
      </c>
      <c r="D173" s="172" t="s">
        <v>161</v>
      </c>
      <c r="E173" s="25">
        <v>25</v>
      </c>
      <c r="F173" s="708"/>
      <c r="G173" s="726"/>
      <c r="H173" s="721"/>
      <c r="I173" s="721"/>
      <c r="J173" s="693"/>
      <c r="K173" s="693"/>
      <c r="L173" s="693"/>
      <c r="M173" s="692"/>
      <c r="N173" s="692"/>
      <c r="O173" s="144"/>
      <c r="P173" s="142"/>
    </row>
    <row r="174" spans="1:16" s="72" customFormat="1" ht="21" customHeight="1">
      <c r="A174" s="171"/>
      <c r="B174" s="171"/>
      <c r="C174" s="171">
        <v>7</v>
      </c>
      <c r="D174" s="172" t="s">
        <v>231</v>
      </c>
      <c r="E174" s="25">
        <v>48</v>
      </c>
      <c r="F174" s="708"/>
      <c r="G174" s="726"/>
      <c r="H174" s="721"/>
      <c r="I174" s="721"/>
      <c r="J174" s="693"/>
      <c r="K174" s="693"/>
      <c r="L174" s="693"/>
      <c r="M174" s="692"/>
      <c r="N174" s="692"/>
      <c r="O174" s="144"/>
      <c r="P174" s="142"/>
    </row>
    <row r="175" spans="1:16" s="72" customFormat="1" ht="21" customHeight="1">
      <c r="A175" s="171"/>
      <c r="B175" s="171"/>
      <c r="C175" s="171">
        <v>8</v>
      </c>
      <c r="D175" s="172" t="s">
        <v>232</v>
      </c>
      <c r="E175" s="25">
        <v>67</v>
      </c>
      <c r="F175" s="708"/>
      <c r="G175" s="726"/>
      <c r="H175" s="721"/>
      <c r="I175" s="721"/>
      <c r="J175" s="693"/>
      <c r="K175" s="693"/>
      <c r="L175" s="693"/>
      <c r="M175" s="692"/>
      <c r="N175" s="692"/>
      <c r="O175" s="144"/>
      <c r="P175" s="142"/>
    </row>
    <row r="176" spans="1:16" s="72" customFormat="1" ht="21" customHeight="1">
      <c r="A176" s="171"/>
      <c r="B176" s="171"/>
      <c r="C176" s="171">
        <v>9</v>
      </c>
      <c r="D176" s="172" t="s">
        <v>233</v>
      </c>
      <c r="E176" s="25">
        <v>45</v>
      </c>
      <c r="F176" s="708"/>
      <c r="G176" s="726"/>
      <c r="H176" s="721"/>
      <c r="I176" s="721"/>
      <c r="J176" s="693"/>
      <c r="K176" s="693"/>
      <c r="L176" s="693"/>
      <c r="M176" s="692"/>
      <c r="N176" s="692"/>
      <c r="O176" s="144"/>
      <c r="P176" s="142"/>
    </row>
    <row r="177" spans="1:16" s="72" customFormat="1" ht="21" customHeight="1">
      <c r="A177" s="171"/>
      <c r="B177" s="171"/>
      <c r="C177" s="171">
        <v>10</v>
      </c>
      <c r="D177" s="172" t="s">
        <v>234</v>
      </c>
      <c r="E177" s="25">
        <v>20</v>
      </c>
      <c r="F177" s="708"/>
      <c r="G177" s="726"/>
      <c r="H177" s="721"/>
      <c r="I177" s="721"/>
      <c r="J177" s="693"/>
      <c r="K177" s="693"/>
      <c r="L177" s="693"/>
      <c r="M177" s="692"/>
      <c r="N177" s="692"/>
      <c r="O177" s="144"/>
      <c r="P177" s="142"/>
    </row>
    <row r="178" spans="1:16" s="72" customFormat="1" ht="21" customHeight="1">
      <c r="A178" s="171"/>
      <c r="B178" s="171"/>
      <c r="C178" s="171">
        <v>11</v>
      </c>
      <c r="D178" s="172" t="s">
        <v>226</v>
      </c>
      <c r="E178" s="25">
        <v>97</v>
      </c>
      <c r="F178" s="708"/>
      <c r="G178" s="726"/>
      <c r="H178" s="721"/>
      <c r="I178" s="721"/>
      <c r="J178" s="693"/>
      <c r="K178" s="693"/>
      <c r="L178" s="693"/>
      <c r="M178" s="692"/>
      <c r="N178" s="692"/>
      <c r="O178" s="144"/>
      <c r="P178" s="142"/>
    </row>
    <row r="179" spans="1:16" s="72" customFormat="1" ht="21" customHeight="1">
      <c r="A179" s="171"/>
      <c r="B179" s="171"/>
      <c r="C179" s="171">
        <v>12</v>
      </c>
      <c r="D179" s="172" t="s">
        <v>235</v>
      </c>
      <c r="E179" s="25">
        <v>19</v>
      </c>
      <c r="F179" s="708">
        <v>2</v>
      </c>
      <c r="G179" s="710"/>
      <c r="H179" s="710">
        <v>100</v>
      </c>
      <c r="I179" s="710">
        <v>2</v>
      </c>
      <c r="J179" s="693">
        <f>F179*15+20</f>
        <v>50</v>
      </c>
      <c r="K179" s="693">
        <f>F179*3+2</f>
        <v>8</v>
      </c>
      <c r="L179" s="693">
        <f>F179*18+22</f>
        <v>58</v>
      </c>
      <c r="M179" s="692">
        <v>1.52</v>
      </c>
      <c r="N179" s="692">
        <f>M179*34.12</f>
        <v>51.862399999999994</v>
      </c>
      <c r="O179" s="144"/>
      <c r="P179" s="142"/>
    </row>
    <row r="180" spans="1:16" s="144" customFormat="1" ht="21" customHeight="1">
      <c r="A180" s="171"/>
      <c r="B180" s="171"/>
      <c r="C180" s="171">
        <v>13</v>
      </c>
      <c r="D180" s="172" t="s">
        <v>236</v>
      </c>
      <c r="E180" s="25">
        <v>112</v>
      </c>
      <c r="F180" s="708"/>
      <c r="G180" s="710"/>
      <c r="H180" s="721"/>
      <c r="I180" s="721"/>
      <c r="J180" s="693"/>
      <c r="K180" s="693"/>
      <c r="L180" s="693"/>
      <c r="M180" s="692"/>
      <c r="N180" s="692"/>
      <c r="P180" s="142"/>
    </row>
    <row r="181" spans="1:16" s="144" customFormat="1" ht="21" customHeight="1">
      <c r="A181" s="171"/>
      <c r="B181" s="171"/>
      <c r="C181" s="171">
        <v>14</v>
      </c>
      <c r="D181" s="172" t="s">
        <v>237</v>
      </c>
      <c r="E181" s="25">
        <v>50</v>
      </c>
      <c r="F181" s="708"/>
      <c r="G181" s="710"/>
      <c r="H181" s="721"/>
      <c r="I181" s="721"/>
      <c r="J181" s="693"/>
      <c r="K181" s="693"/>
      <c r="L181" s="693"/>
      <c r="M181" s="692"/>
      <c r="N181" s="692"/>
      <c r="P181" s="142"/>
    </row>
    <row r="182" spans="1:16" s="144" customFormat="1" ht="21" customHeight="1">
      <c r="A182" s="171"/>
      <c r="B182" s="171"/>
      <c r="C182" s="171">
        <v>15</v>
      </c>
      <c r="D182" s="172" t="s">
        <v>106</v>
      </c>
      <c r="E182" s="25">
        <v>20</v>
      </c>
      <c r="F182" s="708"/>
      <c r="G182" s="710"/>
      <c r="H182" s="721"/>
      <c r="I182" s="721"/>
      <c r="J182" s="693"/>
      <c r="K182" s="693"/>
      <c r="L182" s="693"/>
      <c r="M182" s="692"/>
      <c r="N182" s="692"/>
      <c r="P182" s="142"/>
    </row>
    <row r="183" spans="1:16" s="144" customFormat="1" ht="21" customHeight="1">
      <c r="A183" s="171"/>
      <c r="B183" s="171"/>
      <c r="C183" s="171">
        <v>16</v>
      </c>
      <c r="D183" s="172" t="s">
        <v>238</v>
      </c>
      <c r="E183" s="25">
        <v>52</v>
      </c>
      <c r="F183" s="209">
        <v>1.5</v>
      </c>
      <c r="G183" s="173"/>
      <c r="H183" s="25">
        <v>50</v>
      </c>
      <c r="I183" s="25">
        <v>1</v>
      </c>
      <c r="J183" s="181">
        <f>F183*15+9</f>
        <v>31.5</v>
      </c>
      <c r="K183" s="181">
        <f>F183*3+1</f>
        <v>5.5</v>
      </c>
      <c r="L183" s="181">
        <f>F183*18+10</f>
        <v>37</v>
      </c>
      <c r="M183" s="416">
        <v>0.56999999999999995</v>
      </c>
      <c r="N183" s="416">
        <f>M183*34.12</f>
        <v>19.448399999999996</v>
      </c>
      <c r="P183" s="142"/>
    </row>
    <row r="184" spans="1:16" s="144" customFormat="1" ht="21" customHeight="1">
      <c r="A184" s="171"/>
      <c r="B184" s="171"/>
      <c r="C184" s="171">
        <v>17</v>
      </c>
      <c r="D184" s="172" t="s">
        <v>239</v>
      </c>
      <c r="E184" s="25">
        <v>17</v>
      </c>
      <c r="F184" s="708">
        <v>2</v>
      </c>
      <c r="G184" s="710"/>
      <c r="H184" s="710">
        <v>50</v>
      </c>
      <c r="I184" s="710">
        <v>1</v>
      </c>
      <c r="J184" s="693">
        <f>F184*15+9</f>
        <v>39</v>
      </c>
      <c r="K184" s="693">
        <f>F184*3+1</f>
        <v>7</v>
      </c>
      <c r="L184" s="693">
        <f>F184*18+10</f>
        <v>46</v>
      </c>
      <c r="M184" s="692">
        <v>0.56999999999999995</v>
      </c>
      <c r="N184" s="692">
        <f>M184*34.12</f>
        <v>19.448399999999996</v>
      </c>
      <c r="P184" s="142"/>
    </row>
    <row r="185" spans="1:16" s="144" customFormat="1" ht="21" customHeight="1">
      <c r="A185" s="171"/>
      <c r="B185" s="171"/>
      <c r="C185" s="171">
        <v>18</v>
      </c>
      <c r="D185" s="172" t="s">
        <v>240</v>
      </c>
      <c r="E185" s="25">
        <v>36</v>
      </c>
      <c r="F185" s="708"/>
      <c r="G185" s="710"/>
      <c r="H185" s="710"/>
      <c r="I185" s="710"/>
      <c r="J185" s="693"/>
      <c r="K185" s="693"/>
      <c r="L185" s="693"/>
      <c r="M185" s="692"/>
      <c r="N185" s="692"/>
      <c r="P185" s="142"/>
    </row>
    <row r="186" spans="1:16" s="144" customFormat="1" ht="21" customHeight="1">
      <c r="A186" s="171"/>
      <c r="B186" s="171"/>
      <c r="C186" s="171">
        <v>19</v>
      </c>
      <c r="D186" s="172" t="s">
        <v>241</v>
      </c>
      <c r="E186" s="25">
        <v>5</v>
      </c>
      <c r="F186" s="708"/>
      <c r="G186" s="710"/>
      <c r="H186" s="710"/>
      <c r="I186" s="710"/>
      <c r="J186" s="693"/>
      <c r="K186" s="693"/>
      <c r="L186" s="693"/>
      <c r="M186" s="692"/>
      <c r="N186" s="692"/>
      <c r="P186" s="142"/>
    </row>
    <row r="187" spans="1:16" s="144" customFormat="1" ht="21" customHeight="1">
      <c r="A187" s="175"/>
      <c r="B187" s="175"/>
      <c r="C187" s="175">
        <v>20</v>
      </c>
      <c r="D187" s="176" t="s">
        <v>242</v>
      </c>
      <c r="E187" s="32">
        <v>25</v>
      </c>
      <c r="F187" s="709"/>
      <c r="G187" s="711"/>
      <c r="H187" s="711"/>
      <c r="I187" s="711"/>
      <c r="J187" s="707"/>
      <c r="K187" s="707"/>
      <c r="L187" s="707"/>
      <c r="M187" s="706"/>
      <c r="N187" s="706"/>
      <c r="P187" s="142"/>
    </row>
    <row r="188" spans="1:16">
      <c r="A188" s="695" t="s">
        <v>225</v>
      </c>
      <c r="B188" s="695"/>
      <c r="C188" s="695"/>
      <c r="D188" s="695"/>
      <c r="E188" s="695"/>
      <c r="F188" s="695"/>
      <c r="G188" s="695"/>
      <c r="H188" s="695"/>
      <c r="I188" s="695"/>
      <c r="J188" s="695"/>
      <c r="K188" s="695"/>
      <c r="L188" s="695"/>
    </row>
    <row r="189" spans="1:16" s="5" customFormat="1" ht="27.75" customHeight="1">
      <c r="A189" s="654" t="s">
        <v>1</v>
      </c>
      <c r="B189" s="632" t="s">
        <v>755</v>
      </c>
      <c r="C189" s="646" t="s">
        <v>21</v>
      </c>
      <c r="D189" s="647"/>
      <c r="E189" s="652" t="s">
        <v>756</v>
      </c>
      <c r="F189" s="654" t="s">
        <v>3</v>
      </c>
      <c r="G189" s="654"/>
      <c r="H189" s="654"/>
      <c r="I189" s="654"/>
      <c r="J189" s="654" t="s">
        <v>761</v>
      </c>
      <c r="K189" s="654"/>
      <c r="L189" s="654"/>
      <c r="M189" s="644" t="s">
        <v>857</v>
      </c>
      <c r="N189" s="644"/>
    </row>
    <row r="190" spans="1:16" s="5" customFormat="1" ht="40.5" customHeight="1">
      <c r="A190" s="654"/>
      <c r="B190" s="633"/>
      <c r="C190" s="648"/>
      <c r="D190" s="649"/>
      <c r="E190" s="652"/>
      <c r="F190" s="652" t="s">
        <v>757</v>
      </c>
      <c r="G190" s="652" t="s">
        <v>5</v>
      </c>
      <c r="H190" s="652" t="s">
        <v>6</v>
      </c>
      <c r="I190" s="652"/>
      <c r="J190" s="652" t="s">
        <v>22</v>
      </c>
      <c r="K190" s="652" t="s">
        <v>762</v>
      </c>
      <c r="L190" s="654" t="s">
        <v>8</v>
      </c>
      <c r="M190" s="644"/>
      <c r="N190" s="644"/>
    </row>
    <row r="191" spans="1:16" s="5" customFormat="1" ht="58.5" customHeight="1">
      <c r="A191" s="632"/>
      <c r="B191" s="634"/>
      <c r="C191" s="650"/>
      <c r="D191" s="651"/>
      <c r="E191" s="653"/>
      <c r="F191" s="653"/>
      <c r="G191" s="653"/>
      <c r="H191" s="381" t="s">
        <v>9</v>
      </c>
      <c r="I191" s="381" t="s">
        <v>10</v>
      </c>
      <c r="J191" s="653"/>
      <c r="K191" s="632"/>
      <c r="L191" s="632"/>
      <c r="M191" s="382" t="s">
        <v>753</v>
      </c>
      <c r="N191" s="383" t="s">
        <v>754</v>
      </c>
    </row>
    <row r="192" spans="1:16" s="144" customFormat="1" ht="21.95" customHeight="1">
      <c r="A192" s="140"/>
      <c r="B192" s="169" t="s">
        <v>13</v>
      </c>
      <c r="C192" s="140">
        <v>21</v>
      </c>
      <c r="D192" s="141" t="s">
        <v>183</v>
      </c>
      <c r="E192" s="7">
        <v>14</v>
      </c>
      <c r="F192" s="697">
        <v>1.8</v>
      </c>
      <c r="G192" s="698"/>
      <c r="H192" s="701">
        <v>100</v>
      </c>
      <c r="I192" s="703">
        <v>2</v>
      </c>
      <c r="J192" s="696">
        <f>F192*15+20</f>
        <v>47</v>
      </c>
      <c r="K192" s="696">
        <v>7</v>
      </c>
      <c r="L192" s="696">
        <f>F192*18+22</f>
        <v>54.4</v>
      </c>
      <c r="M192" s="694">
        <v>1.52</v>
      </c>
      <c r="N192" s="694">
        <f>M192*34.12</f>
        <v>51.862399999999994</v>
      </c>
      <c r="P192" s="142"/>
    </row>
    <row r="193" spans="1:16" s="144" customFormat="1" ht="21.95" customHeight="1">
      <c r="A193" s="140"/>
      <c r="B193" s="171" t="s">
        <v>860</v>
      </c>
      <c r="C193" s="140">
        <v>22</v>
      </c>
      <c r="D193" s="141" t="s">
        <v>243</v>
      </c>
      <c r="E193" s="7">
        <v>22</v>
      </c>
      <c r="F193" s="697"/>
      <c r="G193" s="699"/>
      <c r="H193" s="702"/>
      <c r="I193" s="703"/>
      <c r="J193" s="696"/>
      <c r="K193" s="696"/>
      <c r="L193" s="696"/>
      <c r="M193" s="694"/>
      <c r="N193" s="694"/>
      <c r="P193" s="142"/>
    </row>
    <row r="194" spans="1:16" s="72" customFormat="1" ht="21.95" customHeight="1">
      <c r="A194" s="140"/>
      <c r="B194" s="140"/>
      <c r="C194" s="140">
        <v>23</v>
      </c>
      <c r="D194" s="141" t="s">
        <v>244</v>
      </c>
      <c r="E194" s="7">
        <v>72</v>
      </c>
      <c r="F194" s="697"/>
      <c r="G194" s="699"/>
      <c r="H194" s="702"/>
      <c r="I194" s="703"/>
      <c r="J194" s="696"/>
      <c r="K194" s="696"/>
      <c r="L194" s="696"/>
      <c r="M194" s="694"/>
      <c r="N194" s="694"/>
      <c r="O194" s="144"/>
      <c r="P194" s="142"/>
    </row>
    <row r="195" spans="1:16" s="72" customFormat="1" ht="21.95" customHeight="1">
      <c r="A195" s="140"/>
      <c r="B195" s="140"/>
      <c r="C195" s="140">
        <v>24</v>
      </c>
      <c r="D195" s="141" t="s">
        <v>245</v>
      </c>
      <c r="E195" s="7">
        <v>22</v>
      </c>
      <c r="F195" s="697"/>
      <c r="G195" s="699"/>
      <c r="H195" s="702"/>
      <c r="I195" s="703"/>
      <c r="J195" s="696"/>
      <c r="K195" s="696"/>
      <c r="L195" s="696"/>
      <c r="M195" s="694"/>
      <c r="N195" s="694"/>
      <c r="O195" s="144"/>
      <c r="P195" s="142"/>
    </row>
    <row r="196" spans="1:16" s="72" customFormat="1" ht="21.95" customHeight="1">
      <c r="A196" s="140"/>
      <c r="B196" s="140"/>
      <c r="C196" s="140">
        <v>25</v>
      </c>
      <c r="D196" s="141" t="s">
        <v>246</v>
      </c>
      <c r="E196" s="7">
        <v>13</v>
      </c>
      <c r="F196" s="697"/>
      <c r="G196" s="699"/>
      <c r="H196" s="702"/>
      <c r="I196" s="703"/>
      <c r="J196" s="696"/>
      <c r="K196" s="696"/>
      <c r="L196" s="696"/>
      <c r="M196" s="694"/>
      <c r="N196" s="694"/>
      <c r="O196" s="144"/>
      <c r="P196" s="142"/>
    </row>
    <row r="197" spans="1:16" s="72" customFormat="1" ht="21.95" customHeight="1">
      <c r="A197" s="140"/>
      <c r="B197" s="140"/>
      <c r="C197" s="140">
        <v>26</v>
      </c>
      <c r="D197" s="141" t="s">
        <v>247</v>
      </c>
      <c r="E197" s="7">
        <v>39</v>
      </c>
      <c r="F197" s="697"/>
      <c r="G197" s="699"/>
      <c r="H197" s="702"/>
      <c r="I197" s="703"/>
      <c r="J197" s="696"/>
      <c r="K197" s="696"/>
      <c r="L197" s="696"/>
      <c r="M197" s="694"/>
      <c r="N197" s="694"/>
      <c r="O197" s="144"/>
      <c r="P197" s="142"/>
    </row>
    <row r="198" spans="1:16" s="72" customFormat="1" ht="21.95" customHeight="1">
      <c r="A198" s="140"/>
      <c r="B198" s="140"/>
      <c r="C198" s="140">
        <v>27</v>
      </c>
      <c r="D198" s="141" t="s">
        <v>248</v>
      </c>
      <c r="E198" s="7">
        <v>75</v>
      </c>
      <c r="F198" s="697"/>
      <c r="G198" s="699"/>
      <c r="H198" s="702"/>
      <c r="I198" s="703"/>
      <c r="J198" s="696"/>
      <c r="K198" s="696"/>
      <c r="L198" s="696"/>
      <c r="M198" s="694"/>
      <c r="N198" s="694"/>
      <c r="O198" s="144"/>
      <c r="P198" s="142"/>
    </row>
    <row r="199" spans="1:16" s="72" customFormat="1" ht="21.95" customHeight="1">
      <c r="A199" s="140"/>
      <c r="B199" s="140"/>
      <c r="C199" s="140">
        <v>28</v>
      </c>
      <c r="D199" s="141" t="s">
        <v>161</v>
      </c>
      <c r="E199" s="7">
        <v>10</v>
      </c>
      <c r="F199" s="697"/>
      <c r="G199" s="700"/>
      <c r="H199" s="702"/>
      <c r="I199" s="703"/>
      <c r="J199" s="696"/>
      <c r="K199" s="696"/>
      <c r="L199" s="696"/>
      <c r="M199" s="694"/>
      <c r="N199" s="694"/>
      <c r="O199" s="144"/>
      <c r="P199" s="142"/>
    </row>
    <row r="200" spans="1:16" s="72" customFormat="1" ht="21.95" customHeight="1">
      <c r="A200" s="140"/>
      <c r="B200" s="140"/>
      <c r="C200" s="140">
        <v>29</v>
      </c>
      <c r="D200" s="141" t="s">
        <v>249</v>
      </c>
      <c r="E200" s="7">
        <v>62</v>
      </c>
      <c r="F200" s="697">
        <v>1</v>
      </c>
      <c r="G200" s="722"/>
      <c r="H200" s="701">
        <v>100</v>
      </c>
      <c r="I200" s="703">
        <v>1</v>
      </c>
      <c r="J200" s="696">
        <f>F200*15+10</f>
        <v>25</v>
      </c>
      <c r="K200" s="696">
        <f>F200*3+1</f>
        <v>4</v>
      </c>
      <c r="L200" s="696">
        <f>F200*18+11</f>
        <v>29</v>
      </c>
      <c r="M200" s="694">
        <v>0.76</v>
      </c>
      <c r="N200" s="694">
        <f>M200*34.12</f>
        <v>25.931199999999997</v>
      </c>
      <c r="O200" s="144"/>
      <c r="P200" s="142"/>
    </row>
    <row r="201" spans="1:16" s="72" customFormat="1" ht="21.95" customHeight="1">
      <c r="A201" s="140"/>
      <c r="B201" s="140"/>
      <c r="C201" s="140">
        <v>30</v>
      </c>
      <c r="D201" s="141" t="s">
        <v>250</v>
      </c>
      <c r="E201" s="7">
        <v>29</v>
      </c>
      <c r="F201" s="697"/>
      <c r="G201" s="723"/>
      <c r="H201" s="701"/>
      <c r="I201" s="704"/>
      <c r="J201" s="696"/>
      <c r="K201" s="696"/>
      <c r="L201" s="696"/>
      <c r="M201" s="694"/>
      <c r="N201" s="694"/>
      <c r="O201" s="144"/>
      <c r="P201" s="142"/>
    </row>
    <row r="202" spans="1:16" s="72" customFormat="1" ht="21.95" customHeight="1">
      <c r="A202" s="140"/>
      <c r="B202" s="140"/>
      <c r="C202" s="140">
        <v>31</v>
      </c>
      <c r="D202" s="141" t="s">
        <v>251</v>
      </c>
      <c r="E202" s="7">
        <v>80</v>
      </c>
      <c r="F202" s="697"/>
      <c r="G202" s="723"/>
      <c r="H202" s="701"/>
      <c r="I202" s="704"/>
      <c r="J202" s="696"/>
      <c r="K202" s="696"/>
      <c r="L202" s="696"/>
      <c r="M202" s="694"/>
      <c r="N202" s="694"/>
      <c r="O202" s="144"/>
      <c r="P202" s="142"/>
    </row>
    <row r="203" spans="1:16" s="72" customFormat="1" ht="21.95" customHeight="1">
      <c r="A203" s="140"/>
      <c r="B203" s="140"/>
      <c r="C203" s="140">
        <v>32</v>
      </c>
      <c r="D203" s="141" t="s">
        <v>106</v>
      </c>
      <c r="E203" s="7">
        <v>43</v>
      </c>
      <c r="F203" s="697"/>
      <c r="G203" s="724"/>
      <c r="H203" s="701"/>
      <c r="I203" s="704"/>
      <c r="J203" s="696"/>
      <c r="K203" s="696"/>
      <c r="L203" s="696"/>
      <c r="M203" s="694"/>
      <c r="N203" s="694"/>
      <c r="O203" s="144"/>
      <c r="P203" s="142"/>
    </row>
    <row r="204" spans="1:16" s="72" customFormat="1" ht="21.95" customHeight="1">
      <c r="A204" s="140"/>
      <c r="B204" s="140"/>
      <c r="C204" s="140">
        <v>33</v>
      </c>
      <c r="D204" s="141" t="s">
        <v>239</v>
      </c>
      <c r="E204" s="7">
        <v>17</v>
      </c>
      <c r="F204" s="145">
        <v>0.5</v>
      </c>
      <c r="G204" s="143"/>
      <c r="H204" s="7">
        <v>100</v>
      </c>
      <c r="I204" s="140">
        <v>1</v>
      </c>
      <c r="J204" s="61">
        <f>F204*15+10</f>
        <v>17.5</v>
      </c>
      <c r="K204" s="61">
        <f>F204*3+1</f>
        <v>2.5</v>
      </c>
      <c r="L204" s="61">
        <f>F204*18+11</f>
        <v>20</v>
      </c>
      <c r="M204" s="379">
        <v>0.76</v>
      </c>
      <c r="N204" s="379">
        <f>M204*34.12</f>
        <v>25.931199999999997</v>
      </c>
      <c r="O204" s="144"/>
      <c r="P204" s="142"/>
    </row>
    <row r="205" spans="1:16" s="72" customFormat="1" ht="21.95" customHeight="1">
      <c r="A205" s="140"/>
      <c r="B205" s="140"/>
      <c r="C205" s="140">
        <v>34</v>
      </c>
      <c r="D205" s="141" t="s">
        <v>252</v>
      </c>
      <c r="E205" s="7">
        <v>140</v>
      </c>
      <c r="F205" s="697">
        <v>0.5</v>
      </c>
      <c r="G205" s="698"/>
      <c r="H205" s="701">
        <v>100</v>
      </c>
      <c r="I205" s="703">
        <v>2</v>
      </c>
      <c r="J205" s="696">
        <f>F205*15+20</f>
        <v>27.5</v>
      </c>
      <c r="K205" s="696">
        <f>F205*3+2</f>
        <v>3.5</v>
      </c>
      <c r="L205" s="696">
        <f>F205*18+22</f>
        <v>31</v>
      </c>
      <c r="M205" s="694">
        <v>0.76</v>
      </c>
      <c r="N205" s="694">
        <f>M205*34.12</f>
        <v>25.931199999999997</v>
      </c>
      <c r="O205" s="144"/>
      <c r="P205" s="142"/>
    </row>
    <row r="206" spans="1:16" s="72" customFormat="1" ht="21.95" customHeight="1">
      <c r="A206" s="140"/>
      <c r="B206" s="140"/>
      <c r="C206" s="140">
        <v>35</v>
      </c>
      <c r="D206" s="141" t="s">
        <v>253</v>
      </c>
      <c r="E206" s="7">
        <v>45</v>
      </c>
      <c r="F206" s="697"/>
      <c r="G206" s="699"/>
      <c r="H206" s="702"/>
      <c r="I206" s="704"/>
      <c r="J206" s="696"/>
      <c r="K206" s="696"/>
      <c r="L206" s="696"/>
      <c r="M206" s="694"/>
      <c r="N206" s="694"/>
      <c r="O206" s="144"/>
      <c r="P206" s="142"/>
    </row>
    <row r="207" spans="1:16" s="72" customFormat="1" ht="21.95" customHeight="1">
      <c r="A207" s="140"/>
      <c r="B207" s="140"/>
      <c r="C207" s="140">
        <v>36</v>
      </c>
      <c r="D207" s="141" t="s">
        <v>254</v>
      </c>
      <c r="E207" s="7">
        <v>12</v>
      </c>
      <c r="F207" s="697"/>
      <c r="G207" s="700"/>
      <c r="H207" s="702"/>
      <c r="I207" s="704"/>
      <c r="J207" s="696"/>
      <c r="K207" s="696"/>
      <c r="L207" s="696"/>
      <c r="M207" s="694"/>
      <c r="N207" s="694"/>
      <c r="O207" s="144"/>
      <c r="P207" s="142"/>
    </row>
    <row r="208" spans="1:16" s="5" customFormat="1" ht="21.95" customHeight="1">
      <c r="A208" s="186"/>
      <c r="B208" s="186" t="s">
        <v>759</v>
      </c>
      <c r="C208" s="186"/>
      <c r="D208" s="187" t="s">
        <v>779</v>
      </c>
      <c r="E208" s="66">
        <f>SUM(E168:E207)</f>
        <v>1873</v>
      </c>
      <c r="F208" s="67">
        <f>SUM(F168:F207)</f>
        <v>11.8</v>
      </c>
      <c r="G208" s="226"/>
      <c r="H208" s="66">
        <v>1300</v>
      </c>
      <c r="I208" s="221">
        <v>14</v>
      </c>
      <c r="J208" s="69">
        <f>SUM(J168:J207)</f>
        <v>315</v>
      </c>
      <c r="K208" s="69">
        <f>SUM(K168:K207)</f>
        <v>49</v>
      </c>
      <c r="L208" s="69">
        <f>SUM(L168:L207)</f>
        <v>364.4</v>
      </c>
      <c r="M208" s="420">
        <f>SUM(M168:M207)</f>
        <v>9.5</v>
      </c>
      <c r="N208" s="420">
        <f t="shared" ref="N208" si="25">SUM(N168:N207)</f>
        <v>324.13999999999993</v>
      </c>
      <c r="O208" s="3"/>
      <c r="P208" s="4"/>
    </row>
    <row r="209" spans="1:16" s="72" customFormat="1">
      <c r="A209" s="125"/>
      <c r="B209" s="125"/>
      <c r="C209" s="125"/>
      <c r="D209" s="125"/>
      <c r="E209" s="126"/>
      <c r="F209" s="130"/>
      <c r="G209" s="130"/>
      <c r="H209" s="126"/>
      <c r="J209" s="128"/>
      <c r="K209" s="128"/>
      <c r="L209" s="126"/>
      <c r="M209" s="424"/>
      <c r="N209" s="419"/>
      <c r="O209" s="144"/>
      <c r="P209" s="142"/>
    </row>
    <row r="210" spans="1:16" s="72" customFormat="1">
      <c r="A210" s="125"/>
      <c r="B210" s="125"/>
      <c r="C210" s="125"/>
      <c r="D210" s="125"/>
      <c r="E210" s="126"/>
      <c r="F210" s="130"/>
      <c r="G210" s="130"/>
      <c r="H210" s="126"/>
      <c r="J210" s="128"/>
      <c r="K210" s="128"/>
      <c r="L210" s="126"/>
      <c r="M210" s="424"/>
      <c r="N210" s="419"/>
      <c r="O210" s="144"/>
      <c r="P210" s="142"/>
    </row>
    <row r="211" spans="1:16" s="72" customFormat="1">
      <c r="A211" s="125"/>
      <c r="B211" s="125"/>
      <c r="C211" s="125"/>
      <c r="D211" s="125"/>
      <c r="E211" s="126"/>
      <c r="F211" s="130"/>
      <c r="G211" s="130"/>
      <c r="H211" s="126"/>
      <c r="J211" s="128"/>
      <c r="K211" s="128"/>
      <c r="L211" s="126"/>
      <c r="M211" s="424"/>
      <c r="N211" s="419"/>
      <c r="O211" s="144"/>
      <c r="P211" s="142"/>
    </row>
    <row r="212" spans="1:16" s="72" customFormat="1">
      <c r="A212" s="125"/>
      <c r="B212" s="125"/>
      <c r="C212" s="125"/>
      <c r="D212" s="125"/>
      <c r="E212" s="126"/>
      <c r="F212" s="130"/>
      <c r="G212" s="130"/>
      <c r="H212" s="126"/>
      <c r="J212" s="128"/>
      <c r="K212" s="128"/>
      <c r="L212" s="126"/>
      <c r="M212" s="424"/>
      <c r="N212" s="419"/>
      <c r="O212" s="144"/>
      <c r="P212" s="142"/>
    </row>
    <row r="213" spans="1:16">
      <c r="A213" s="695" t="s">
        <v>255</v>
      </c>
      <c r="B213" s="695"/>
      <c r="C213" s="695"/>
      <c r="D213" s="695"/>
      <c r="E213" s="695"/>
      <c r="F213" s="695"/>
      <c r="G213" s="695"/>
      <c r="H213" s="695"/>
      <c r="I213" s="695"/>
      <c r="J213" s="695"/>
      <c r="K213" s="695"/>
      <c r="L213" s="695"/>
    </row>
    <row r="214" spans="1:16" s="5" customFormat="1" ht="27.75" customHeight="1">
      <c r="A214" s="654" t="s">
        <v>1</v>
      </c>
      <c r="B214" s="632" t="s">
        <v>755</v>
      </c>
      <c r="C214" s="646" t="s">
        <v>21</v>
      </c>
      <c r="D214" s="647"/>
      <c r="E214" s="652" t="s">
        <v>756</v>
      </c>
      <c r="F214" s="654" t="s">
        <v>3</v>
      </c>
      <c r="G214" s="654"/>
      <c r="H214" s="654"/>
      <c r="I214" s="654"/>
      <c r="J214" s="654" t="s">
        <v>761</v>
      </c>
      <c r="K214" s="654"/>
      <c r="L214" s="654"/>
      <c r="M214" s="644" t="s">
        <v>857</v>
      </c>
      <c r="N214" s="644"/>
    </row>
    <row r="215" spans="1:16" s="5" customFormat="1" ht="40.5" customHeight="1">
      <c r="A215" s="654"/>
      <c r="B215" s="633"/>
      <c r="C215" s="648"/>
      <c r="D215" s="649"/>
      <c r="E215" s="652"/>
      <c r="F215" s="652" t="s">
        <v>757</v>
      </c>
      <c r="G215" s="652" t="s">
        <v>5</v>
      </c>
      <c r="H215" s="652" t="s">
        <v>6</v>
      </c>
      <c r="I215" s="652"/>
      <c r="J215" s="652" t="s">
        <v>22</v>
      </c>
      <c r="K215" s="652" t="s">
        <v>762</v>
      </c>
      <c r="L215" s="654" t="s">
        <v>8</v>
      </c>
      <c r="M215" s="644"/>
      <c r="N215" s="644"/>
    </row>
    <row r="216" spans="1:16" s="5" customFormat="1" ht="58.5" customHeight="1">
      <c r="A216" s="632"/>
      <c r="B216" s="634"/>
      <c r="C216" s="650"/>
      <c r="D216" s="651"/>
      <c r="E216" s="653"/>
      <c r="F216" s="653"/>
      <c r="G216" s="653"/>
      <c r="H216" s="381" t="s">
        <v>9</v>
      </c>
      <c r="I216" s="381" t="s">
        <v>10</v>
      </c>
      <c r="J216" s="653"/>
      <c r="K216" s="632"/>
      <c r="L216" s="632"/>
      <c r="M216" s="382" t="s">
        <v>753</v>
      </c>
      <c r="N216" s="383" t="s">
        <v>754</v>
      </c>
    </row>
    <row r="217" spans="1:16" s="72" customFormat="1" ht="20.100000000000001" customHeight="1">
      <c r="A217" s="169"/>
      <c r="B217" s="169" t="s">
        <v>13</v>
      </c>
      <c r="C217" s="169">
        <v>1</v>
      </c>
      <c r="D217" s="170" t="s">
        <v>72</v>
      </c>
      <c r="E217" s="19">
        <v>120</v>
      </c>
      <c r="F217" s="205">
        <v>1</v>
      </c>
      <c r="G217" s="19"/>
      <c r="H217" s="19">
        <v>200</v>
      </c>
      <c r="I217" s="169">
        <v>1</v>
      </c>
      <c r="J217" s="180">
        <f>F217*15+11.5</f>
        <v>26.5</v>
      </c>
      <c r="K217" s="180">
        <f t="shared" ref="K217:K229" si="26">F217*3+1</f>
        <v>4</v>
      </c>
      <c r="L217" s="180">
        <f>F217*18+12.5</f>
        <v>30.5</v>
      </c>
      <c r="M217" s="415">
        <v>0.56999999999999995</v>
      </c>
      <c r="N217" s="415">
        <f>M217*34.12</f>
        <v>19.448399999999996</v>
      </c>
      <c r="O217" s="144"/>
      <c r="P217" s="142"/>
    </row>
    <row r="218" spans="1:16" s="72" customFormat="1" ht="20.100000000000001" customHeight="1">
      <c r="A218" s="171"/>
      <c r="B218" s="171" t="s">
        <v>782</v>
      </c>
      <c r="C218" s="171">
        <v>2</v>
      </c>
      <c r="D218" s="172" t="s">
        <v>256</v>
      </c>
      <c r="E218" s="25">
        <v>65</v>
      </c>
      <c r="F218" s="209">
        <v>1.5</v>
      </c>
      <c r="G218" s="173"/>
      <c r="H218" s="25">
        <v>100</v>
      </c>
      <c r="I218" s="171">
        <v>1</v>
      </c>
      <c r="J218" s="181">
        <f>F218*15+10</f>
        <v>32.5</v>
      </c>
      <c r="K218" s="181">
        <f t="shared" si="26"/>
        <v>5.5</v>
      </c>
      <c r="L218" s="181">
        <f>F218*18+11</f>
        <v>38</v>
      </c>
      <c r="M218" s="416">
        <v>0.76</v>
      </c>
      <c r="N218" s="416">
        <f t="shared" ref="N218:N237" si="27">M218*34.12</f>
        <v>25.931199999999997</v>
      </c>
      <c r="O218" s="144"/>
      <c r="P218" s="142"/>
    </row>
    <row r="219" spans="1:16" s="72" customFormat="1" ht="20.100000000000001" customHeight="1">
      <c r="A219" s="171"/>
      <c r="B219" s="171"/>
      <c r="C219" s="171">
        <v>3</v>
      </c>
      <c r="D219" s="172" t="s">
        <v>257</v>
      </c>
      <c r="E219" s="25">
        <v>145</v>
      </c>
      <c r="F219" s="209">
        <v>2</v>
      </c>
      <c r="G219" s="25"/>
      <c r="H219" s="25">
        <v>100</v>
      </c>
      <c r="I219" s="171">
        <v>1</v>
      </c>
      <c r="J219" s="181">
        <f>F219*15+10</f>
        <v>40</v>
      </c>
      <c r="K219" s="181">
        <f t="shared" si="26"/>
        <v>7</v>
      </c>
      <c r="L219" s="181">
        <f t="shared" ref="L219" si="28">F219*18+11</f>
        <v>47</v>
      </c>
      <c r="M219" s="416">
        <v>0.76</v>
      </c>
      <c r="N219" s="416">
        <f t="shared" si="27"/>
        <v>25.931199999999997</v>
      </c>
      <c r="O219" s="144"/>
      <c r="P219" s="142"/>
    </row>
    <row r="220" spans="1:16" s="72" customFormat="1" ht="20.100000000000001" customHeight="1">
      <c r="A220" s="171"/>
      <c r="B220" s="171"/>
      <c r="C220" s="171">
        <v>4</v>
      </c>
      <c r="D220" s="172" t="s">
        <v>258</v>
      </c>
      <c r="E220" s="25">
        <v>140</v>
      </c>
      <c r="F220" s="209">
        <v>2</v>
      </c>
      <c r="G220" s="25"/>
      <c r="H220" s="25">
        <v>200</v>
      </c>
      <c r="I220" s="171">
        <v>1</v>
      </c>
      <c r="J220" s="181">
        <f>F220*15+11.5</f>
        <v>41.5</v>
      </c>
      <c r="K220" s="181">
        <f t="shared" si="26"/>
        <v>7</v>
      </c>
      <c r="L220" s="181">
        <f>F220*18+12.5</f>
        <v>48.5</v>
      </c>
      <c r="M220" s="416">
        <v>1</v>
      </c>
      <c r="N220" s="416">
        <f t="shared" si="27"/>
        <v>34.119999999999997</v>
      </c>
      <c r="O220" s="144"/>
      <c r="P220" s="142"/>
    </row>
    <row r="221" spans="1:16" s="72" customFormat="1" ht="20.100000000000001" customHeight="1">
      <c r="A221" s="171"/>
      <c r="B221" s="171"/>
      <c r="C221" s="171">
        <v>5</v>
      </c>
      <c r="D221" s="172" t="s">
        <v>259</v>
      </c>
      <c r="E221" s="25">
        <v>39</v>
      </c>
      <c r="F221" s="209">
        <v>2</v>
      </c>
      <c r="G221" s="25"/>
      <c r="H221" s="25">
        <v>50</v>
      </c>
      <c r="I221" s="171">
        <v>1</v>
      </c>
      <c r="J221" s="181">
        <f>F221*15+9</f>
        <v>39</v>
      </c>
      <c r="K221" s="181">
        <f t="shared" si="26"/>
        <v>7</v>
      </c>
      <c r="L221" s="181">
        <f>F221*18+10</f>
        <v>46</v>
      </c>
      <c r="M221" s="416">
        <v>0.56999999999999995</v>
      </c>
      <c r="N221" s="416">
        <f t="shared" si="27"/>
        <v>19.448399999999996</v>
      </c>
      <c r="O221" s="144"/>
      <c r="P221" s="142"/>
    </row>
    <row r="222" spans="1:16" s="72" customFormat="1" ht="20.100000000000001" customHeight="1">
      <c r="A222" s="171"/>
      <c r="B222" s="171"/>
      <c r="C222" s="171">
        <v>6</v>
      </c>
      <c r="D222" s="172" t="s">
        <v>260</v>
      </c>
      <c r="E222" s="25">
        <v>67</v>
      </c>
      <c r="F222" s="209">
        <v>2</v>
      </c>
      <c r="G222" s="25"/>
      <c r="H222" s="25">
        <v>200</v>
      </c>
      <c r="I222" s="171">
        <v>1</v>
      </c>
      <c r="J222" s="181">
        <f>F222*15+11.5</f>
        <v>41.5</v>
      </c>
      <c r="K222" s="181">
        <f t="shared" si="26"/>
        <v>7</v>
      </c>
      <c r="L222" s="181">
        <f>F222*18+12.5</f>
        <v>48.5</v>
      </c>
      <c r="M222" s="416">
        <v>1</v>
      </c>
      <c r="N222" s="416">
        <f t="shared" si="27"/>
        <v>34.119999999999997</v>
      </c>
      <c r="O222" s="144"/>
      <c r="P222" s="142"/>
    </row>
    <row r="223" spans="1:16" s="72" customFormat="1" ht="20.100000000000001" customHeight="1">
      <c r="A223" s="171"/>
      <c r="B223" s="171"/>
      <c r="C223" s="171">
        <v>7</v>
      </c>
      <c r="D223" s="172" t="s">
        <v>261</v>
      </c>
      <c r="E223" s="25">
        <v>53</v>
      </c>
      <c r="F223" s="209">
        <v>1.5</v>
      </c>
      <c r="G223" s="173"/>
      <c r="H223" s="25">
        <v>50</v>
      </c>
      <c r="I223" s="171">
        <v>1</v>
      </c>
      <c r="J223" s="181">
        <f>F223*15+9</f>
        <v>31.5</v>
      </c>
      <c r="K223" s="181">
        <f t="shared" si="26"/>
        <v>5.5</v>
      </c>
      <c r="L223" s="181">
        <f>F223*18+10</f>
        <v>37</v>
      </c>
      <c r="M223" s="416">
        <v>0.56999999999999995</v>
      </c>
      <c r="N223" s="416">
        <f t="shared" si="27"/>
        <v>19.448399999999996</v>
      </c>
      <c r="O223" s="144"/>
      <c r="P223" s="142"/>
    </row>
    <row r="224" spans="1:16" s="72" customFormat="1" ht="20.100000000000001" customHeight="1">
      <c r="A224" s="171"/>
      <c r="B224" s="171"/>
      <c r="C224" s="171">
        <v>8</v>
      </c>
      <c r="D224" s="172" t="s">
        <v>215</v>
      </c>
      <c r="E224" s="25">
        <v>111</v>
      </c>
      <c r="F224" s="209">
        <v>2</v>
      </c>
      <c r="G224" s="25"/>
      <c r="H224" s="25">
        <v>200</v>
      </c>
      <c r="I224" s="171">
        <v>1</v>
      </c>
      <c r="J224" s="181">
        <f>F224*15+11.5</f>
        <v>41.5</v>
      </c>
      <c r="K224" s="181">
        <f t="shared" si="26"/>
        <v>7</v>
      </c>
      <c r="L224" s="181">
        <f>F224*18+12.5</f>
        <v>48.5</v>
      </c>
      <c r="M224" s="416">
        <v>1</v>
      </c>
      <c r="N224" s="416">
        <f t="shared" si="27"/>
        <v>34.119999999999997</v>
      </c>
      <c r="O224" s="144"/>
      <c r="P224" s="142"/>
    </row>
    <row r="225" spans="1:16" s="72" customFormat="1" ht="20.100000000000001" customHeight="1">
      <c r="A225" s="171"/>
      <c r="B225" s="171"/>
      <c r="C225" s="171">
        <v>9</v>
      </c>
      <c r="D225" s="172" t="s">
        <v>262</v>
      </c>
      <c r="E225" s="25">
        <v>53</v>
      </c>
      <c r="F225" s="209">
        <v>1.8</v>
      </c>
      <c r="G225" s="173"/>
      <c r="H225" s="25">
        <v>100</v>
      </c>
      <c r="I225" s="171">
        <v>1</v>
      </c>
      <c r="J225" s="181">
        <f>F225*15+10</f>
        <v>37</v>
      </c>
      <c r="K225" s="181">
        <f t="shared" si="26"/>
        <v>6.4</v>
      </c>
      <c r="L225" s="181">
        <f>F225*18+11</f>
        <v>43.4</v>
      </c>
      <c r="M225" s="416">
        <v>0.76</v>
      </c>
      <c r="N225" s="416">
        <f t="shared" si="27"/>
        <v>25.931199999999997</v>
      </c>
      <c r="O225" s="144"/>
      <c r="P225" s="142"/>
    </row>
    <row r="226" spans="1:16" s="72" customFormat="1" ht="20.100000000000001" customHeight="1">
      <c r="A226" s="171"/>
      <c r="B226" s="171"/>
      <c r="C226" s="171">
        <v>10</v>
      </c>
      <c r="D226" s="172" t="s">
        <v>263</v>
      </c>
      <c r="E226" s="25">
        <v>88</v>
      </c>
      <c r="F226" s="209">
        <v>2</v>
      </c>
      <c r="G226" s="25"/>
      <c r="H226" s="25">
        <v>100</v>
      </c>
      <c r="I226" s="171">
        <v>1</v>
      </c>
      <c r="J226" s="181">
        <f>F226*15+10</f>
        <v>40</v>
      </c>
      <c r="K226" s="181">
        <f t="shared" si="26"/>
        <v>7</v>
      </c>
      <c r="L226" s="181">
        <f t="shared" ref="L226" si="29">F226*18+11</f>
        <v>47</v>
      </c>
      <c r="M226" s="416">
        <v>0.76</v>
      </c>
      <c r="N226" s="416">
        <f t="shared" si="27"/>
        <v>25.931199999999997</v>
      </c>
      <c r="O226" s="144"/>
      <c r="P226" s="142"/>
    </row>
    <row r="227" spans="1:16" s="72" customFormat="1" ht="20.100000000000001" customHeight="1">
      <c r="A227" s="171"/>
      <c r="B227" s="171"/>
      <c r="C227" s="171">
        <v>11</v>
      </c>
      <c r="D227" s="172" t="s">
        <v>264</v>
      </c>
      <c r="E227" s="25">
        <v>140</v>
      </c>
      <c r="F227" s="209">
        <v>2</v>
      </c>
      <c r="G227" s="25"/>
      <c r="H227" s="25">
        <v>200</v>
      </c>
      <c r="I227" s="171">
        <v>1</v>
      </c>
      <c r="J227" s="181">
        <f>F227*15+11.5</f>
        <v>41.5</v>
      </c>
      <c r="K227" s="181">
        <f t="shared" si="26"/>
        <v>7</v>
      </c>
      <c r="L227" s="181">
        <f>F227*18+12.5</f>
        <v>48.5</v>
      </c>
      <c r="M227" s="416">
        <v>1</v>
      </c>
      <c r="N227" s="416">
        <f t="shared" si="27"/>
        <v>34.119999999999997</v>
      </c>
      <c r="O227" s="144"/>
      <c r="P227" s="142"/>
    </row>
    <row r="228" spans="1:16" s="72" customFormat="1" ht="20.100000000000001" customHeight="1">
      <c r="A228" s="171"/>
      <c r="B228" s="171"/>
      <c r="C228" s="171">
        <v>12</v>
      </c>
      <c r="D228" s="172" t="s">
        <v>265</v>
      </c>
      <c r="E228" s="25">
        <v>29</v>
      </c>
      <c r="F228" s="209">
        <v>2</v>
      </c>
      <c r="G228" s="25"/>
      <c r="H228" s="25">
        <v>50</v>
      </c>
      <c r="I228" s="171">
        <v>1</v>
      </c>
      <c r="J228" s="181">
        <f t="shared" ref="J228:J229" si="30">F228*15+9</f>
        <v>39</v>
      </c>
      <c r="K228" s="181">
        <f t="shared" si="26"/>
        <v>7</v>
      </c>
      <c r="L228" s="181">
        <f>F228*18+10</f>
        <v>46</v>
      </c>
      <c r="M228" s="416">
        <v>0.56999999999999995</v>
      </c>
      <c r="N228" s="416">
        <f t="shared" si="27"/>
        <v>19.448399999999996</v>
      </c>
      <c r="O228" s="144"/>
      <c r="P228" s="142"/>
    </row>
    <row r="229" spans="1:16" s="72" customFormat="1" ht="20.100000000000001" customHeight="1">
      <c r="A229" s="171"/>
      <c r="B229" s="171"/>
      <c r="C229" s="171">
        <v>13</v>
      </c>
      <c r="D229" s="172" t="s">
        <v>266</v>
      </c>
      <c r="E229" s="25">
        <v>24</v>
      </c>
      <c r="F229" s="209">
        <v>2</v>
      </c>
      <c r="G229" s="25"/>
      <c r="H229" s="25">
        <v>50</v>
      </c>
      <c r="I229" s="171">
        <v>1</v>
      </c>
      <c r="J229" s="181">
        <f t="shared" si="30"/>
        <v>39</v>
      </c>
      <c r="K229" s="181">
        <f t="shared" si="26"/>
        <v>7</v>
      </c>
      <c r="L229" s="181">
        <f t="shared" ref="L229" si="31">F229*18+10</f>
        <v>46</v>
      </c>
      <c r="M229" s="416">
        <v>0.56999999999999995</v>
      </c>
      <c r="N229" s="416">
        <f t="shared" si="27"/>
        <v>19.448399999999996</v>
      </c>
      <c r="O229" s="144"/>
      <c r="P229" s="142"/>
    </row>
    <row r="230" spans="1:16" s="72" customFormat="1" ht="20.100000000000001" customHeight="1">
      <c r="A230" s="171"/>
      <c r="B230" s="171"/>
      <c r="C230" s="171">
        <v>14</v>
      </c>
      <c r="D230" s="172" t="s">
        <v>267</v>
      </c>
      <c r="E230" s="25">
        <v>54</v>
      </c>
      <c r="F230" s="209">
        <v>1</v>
      </c>
      <c r="G230" s="25"/>
      <c r="H230" s="25">
        <v>100</v>
      </c>
      <c r="I230" s="171">
        <v>1</v>
      </c>
      <c r="J230" s="181">
        <f>F230*15+10</f>
        <v>25</v>
      </c>
      <c r="K230" s="181">
        <f>F230*3+1</f>
        <v>4</v>
      </c>
      <c r="L230" s="181">
        <f>F230*18+11</f>
        <v>29</v>
      </c>
      <c r="M230" s="416">
        <v>0.76</v>
      </c>
      <c r="N230" s="416">
        <f t="shared" si="27"/>
        <v>25.931199999999997</v>
      </c>
      <c r="O230" s="144"/>
      <c r="P230" s="142"/>
    </row>
    <row r="231" spans="1:16" s="72" customFormat="1" ht="20.100000000000001" customHeight="1">
      <c r="A231" s="171"/>
      <c r="B231" s="171"/>
      <c r="C231" s="171">
        <v>15</v>
      </c>
      <c r="D231" s="172" t="s">
        <v>268</v>
      </c>
      <c r="E231" s="25">
        <v>33</v>
      </c>
      <c r="F231" s="209">
        <v>1.9</v>
      </c>
      <c r="G231" s="173"/>
      <c r="H231" s="25">
        <v>50</v>
      </c>
      <c r="I231" s="171">
        <v>1</v>
      </c>
      <c r="J231" s="181">
        <f t="shared" ref="J231:J232" si="32">F231*15+9</f>
        <v>37.5</v>
      </c>
      <c r="K231" s="181">
        <f t="shared" ref="K231:K232" si="33">F231*3+1</f>
        <v>6.6999999999999993</v>
      </c>
      <c r="L231" s="181">
        <f>F231*18+10</f>
        <v>44.199999999999996</v>
      </c>
      <c r="M231" s="416">
        <v>0.56999999999999995</v>
      </c>
      <c r="N231" s="416">
        <f t="shared" si="27"/>
        <v>19.448399999999996</v>
      </c>
      <c r="O231" s="144"/>
      <c r="P231" s="142"/>
    </row>
    <row r="232" spans="1:16" s="72" customFormat="1" ht="20.100000000000001" customHeight="1">
      <c r="A232" s="171"/>
      <c r="B232" s="171"/>
      <c r="C232" s="171">
        <v>16</v>
      </c>
      <c r="D232" s="172" t="s">
        <v>269</v>
      </c>
      <c r="E232" s="25">
        <v>42</v>
      </c>
      <c r="F232" s="209">
        <v>1.5</v>
      </c>
      <c r="G232" s="173"/>
      <c r="H232" s="25">
        <v>50</v>
      </c>
      <c r="I232" s="171">
        <v>1</v>
      </c>
      <c r="J232" s="181">
        <f t="shared" si="32"/>
        <v>31.5</v>
      </c>
      <c r="K232" s="181">
        <f t="shared" si="33"/>
        <v>5.5</v>
      </c>
      <c r="L232" s="181">
        <f t="shared" ref="L232" si="34">F232*18+10</f>
        <v>37</v>
      </c>
      <c r="M232" s="416">
        <v>0.56999999999999995</v>
      </c>
      <c r="N232" s="416">
        <f t="shared" si="27"/>
        <v>19.448399999999996</v>
      </c>
      <c r="O232" s="144"/>
      <c r="P232" s="142"/>
    </row>
    <row r="233" spans="1:16" s="72" customFormat="1" ht="20.100000000000001" customHeight="1">
      <c r="A233" s="171"/>
      <c r="B233" s="171"/>
      <c r="C233" s="171">
        <v>17</v>
      </c>
      <c r="D233" s="172" t="s">
        <v>270</v>
      </c>
      <c r="E233" s="25">
        <v>51</v>
      </c>
      <c r="F233" s="209">
        <v>2</v>
      </c>
      <c r="G233" s="25"/>
      <c r="H233" s="25">
        <v>100</v>
      </c>
      <c r="I233" s="171">
        <v>1</v>
      </c>
      <c r="J233" s="181">
        <f>F233*15+10</f>
        <v>40</v>
      </c>
      <c r="K233" s="181">
        <f>F233*3+1</f>
        <v>7</v>
      </c>
      <c r="L233" s="181">
        <f>F233*18+11</f>
        <v>47</v>
      </c>
      <c r="M233" s="416">
        <v>1.76</v>
      </c>
      <c r="N233" s="416">
        <f t="shared" si="27"/>
        <v>60.051199999999994</v>
      </c>
      <c r="O233" s="144"/>
      <c r="P233" s="142"/>
    </row>
    <row r="234" spans="1:16" s="72" customFormat="1" ht="20.100000000000001" customHeight="1">
      <c r="A234" s="171"/>
      <c r="B234" s="171"/>
      <c r="C234" s="171">
        <v>18</v>
      </c>
      <c r="D234" s="172" t="s">
        <v>271</v>
      </c>
      <c r="E234" s="25">
        <v>38</v>
      </c>
      <c r="F234" s="209">
        <v>1.03</v>
      </c>
      <c r="G234" s="174"/>
      <c r="H234" s="25">
        <v>50</v>
      </c>
      <c r="I234" s="171">
        <v>1</v>
      </c>
      <c r="J234" s="181">
        <f>F234*15+9</f>
        <v>24.450000000000003</v>
      </c>
      <c r="K234" s="181">
        <f>F234*3+1</f>
        <v>4.09</v>
      </c>
      <c r="L234" s="181">
        <f>F234*18+10</f>
        <v>28.54</v>
      </c>
      <c r="M234" s="416">
        <v>0.56999999999999995</v>
      </c>
      <c r="N234" s="416">
        <f t="shared" si="27"/>
        <v>19.448399999999996</v>
      </c>
      <c r="O234" s="144"/>
      <c r="P234" s="142"/>
    </row>
    <row r="235" spans="1:16" s="72" customFormat="1" ht="20.100000000000001" customHeight="1">
      <c r="A235" s="171"/>
      <c r="B235" s="171"/>
      <c r="C235" s="171">
        <v>19</v>
      </c>
      <c r="D235" s="172" t="s">
        <v>272</v>
      </c>
      <c r="E235" s="25">
        <v>59</v>
      </c>
      <c r="F235" s="209">
        <v>1.0900000000000001</v>
      </c>
      <c r="G235" s="174"/>
      <c r="H235" s="25">
        <v>100</v>
      </c>
      <c r="I235" s="171">
        <v>1</v>
      </c>
      <c r="J235" s="181">
        <f>F235*15+10</f>
        <v>26.35</v>
      </c>
      <c r="K235" s="181">
        <f>F235*3+1</f>
        <v>4.2700000000000005</v>
      </c>
      <c r="L235" s="181">
        <f>F235*18+11</f>
        <v>30.62</v>
      </c>
      <c r="M235" s="416">
        <v>0.76</v>
      </c>
      <c r="N235" s="416">
        <f t="shared" si="27"/>
        <v>25.931199999999997</v>
      </c>
      <c r="O235" s="144"/>
      <c r="P235" s="142"/>
    </row>
    <row r="236" spans="1:16" s="72" customFormat="1" ht="20.100000000000001" customHeight="1">
      <c r="A236" s="171"/>
      <c r="B236" s="171"/>
      <c r="C236" s="171">
        <v>20</v>
      </c>
      <c r="D236" s="172" t="s">
        <v>273</v>
      </c>
      <c r="E236" s="25">
        <v>69</v>
      </c>
      <c r="F236" s="209">
        <v>2</v>
      </c>
      <c r="G236" s="25"/>
      <c r="H236" s="25">
        <v>100</v>
      </c>
      <c r="I236" s="171">
        <v>1</v>
      </c>
      <c r="J236" s="181">
        <f>F236*15+10</f>
        <v>40</v>
      </c>
      <c r="K236" s="181">
        <f>F236*3+1</f>
        <v>7</v>
      </c>
      <c r="L236" s="181">
        <f t="shared" ref="L236" si="35">F236*18+11</f>
        <v>47</v>
      </c>
      <c r="M236" s="416">
        <v>0.76</v>
      </c>
      <c r="N236" s="416">
        <f t="shared" si="27"/>
        <v>25.931199999999997</v>
      </c>
      <c r="O236" s="144"/>
      <c r="P236" s="142"/>
    </row>
    <row r="237" spans="1:16" s="72" customFormat="1" ht="20.100000000000001" customHeight="1">
      <c r="A237" s="175"/>
      <c r="B237" s="175"/>
      <c r="C237" s="175">
        <v>21</v>
      </c>
      <c r="D237" s="176" t="s">
        <v>274</v>
      </c>
      <c r="E237" s="32">
        <v>43</v>
      </c>
      <c r="F237" s="210">
        <v>2</v>
      </c>
      <c r="G237" s="32"/>
      <c r="H237" s="32">
        <v>50</v>
      </c>
      <c r="I237" s="175">
        <v>1</v>
      </c>
      <c r="J237" s="182">
        <f t="shared" ref="J237:J245" si="36">F237*15+9</f>
        <v>39</v>
      </c>
      <c r="K237" s="182">
        <f t="shared" ref="K237:K245" si="37">F237*3+1</f>
        <v>7</v>
      </c>
      <c r="L237" s="182">
        <f>F237*18+10</f>
        <v>46</v>
      </c>
      <c r="M237" s="417">
        <v>0.56999999999999995</v>
      </c>
      <c r="N237" s="417">
        <f t="shared" si="27"/>
        <v>19.448399999999996</v>
      </c>
      <c r="O237" s="144"/>
      <c r="P237" s="142"/>
    </row>
    <row r="238" spans="1:16" s="72" customFormat="1">
      <c r="A238" s="131"/>
      <c r="B238" s="131"/>
      <c r="C238" s="131"/>
      <c r="E238" s="126"/>
      <c r="F238" s="126"/>
      <c r="G238" s="126"/>
      <c r="H238" s="126"/>
      <c r="I238" s="131"/>
      <c r="J238" s="128"/>
      <c r="K238" s="128"/>
      <c r="L238" s="128"/>
      <c r="M238" s="424"/>
      <c r="N238" s="419"/>
      <c r="O238" s="144"/>
      <c r="P238" s="142"/>
    </row>
    <row r="239" spans="1:16">
      <c r="A239" s="695" t="s">
        <v>255</v>
      </c>
      <c r="B239" s="695"/>
      <c r="C239" s="695"/>
      <c r="D239" s="695"/>
      <c r="E239" s="695"/>
      <c r="F239" s="695"/>
      <c r="G239" s="695"/>
      <c r="H239" s="695"/>
      <c r="I239" s="695"/>
      <c r="J239" s="695"/>
      <c r="K239" s="695"/>
      <c r="L239" s="695"/>
    </row>
    <row r="240" spans="1:16" s="5" customFormat="1" ht="27.75" customHeight="1">
      <c r="A240" s="654" t="s">
        <v>1</v>
      </c>
      <c r="B240" s="632" t="s">
        <v>755</v>
      </c>
      <c r="C240" s="646" t="s">
        <v>21</v>
      </c>
      <c r="D240" s="647"/>
      <c r="E240" s="652" t="s">
        <v>756</v>
      </c>
      <c r="F240" s="654" t="s">
        <v>3</v>
      </c>
      <c r="G240" s="654"/>
      <c r="H240" s="654"/>
      <c r="I240" s="654"/>
      <c r="J240" s="654" t="s">
        <v>761</v>
      </c>
      <c r="K240" s="654"/>
      <c r="L240" s="654"/>
      <c r="M240" s="644" t="s">
        <v>857</v>
      </c>
      <c r="N240" s="644"/>
    </row>
    <row r="241" spans="1:17" s="5" customFormat="1" ht="40.5" customHeight="1">
      <c r="A241" s="654"/>
      <c r="B241" s="633"/>
      <c r="C241" s="648"/>
      <c r="D241" s="649"/>
      <c r="E241" s="652"/>
      <c r="F241" s="652" t="s">
        <v>757</v>
      </c>
      <c r="G241" s="652" t="s">
        <v>5</v>
      </c>
      <c r="H241" s="652" t="s">
        <v>6</v>
      </c>
      <c r="I241" s="652"/>
      <c r="J241" s="652" t="s">
        <v>22</v>
      </c>
      <c r="K241" s="652" t="s">
        <v>762</v>
      </c>
      <c r="L241" s="654" t="s">
        <v>8</v>
      </c>
      <c r="M241" s="644"/>
      <c r="N241" s="644"/>
    </row>
    <row r="242" spans="1:17" s="5" customFormat="1" ht="58.5" customHeight="1">
      <c r="A242" s="632"/>
      <c r="B242" s="634"/>
      <c r="C242" s="650"/>
      <c r="D242" s="651"/>
      <c r="E242" s="653"/>
      <c r="F242" s="653"/>
      <c r="G242" s="653"/>
      <c r="H242" s="381" t="s">
        <v>9</v>
      </c>
      <c r="I242" s="381" t="s">
        <v>10</v>
      </c>
      <c r="J242" s="653"/>
      <c r="K242" s="632"/>
      <c r="L242" s="632"/>
      <c r="M242" s="382" t="s">
        <v>753</v>
      </c>
      <c r="N242" s="383" t="s">
        <v>754</v>
      </c>
    </row>
    <row r="243" spans="1:17" s="72" customFormat="1" ht="21" customHeight="1">
      <c r="A243" s="169"/>
      <c r="B243" s="169"/>
      <c r="C243" s="169">
        <v>22</v>
      </c>
      <c r="D243" s="170" t="s">
        <v>275</v>
      </c>
      <c r="E243" s="19">
        <v>46</v>
      </c>
      <c r="F243" s="205">
        <v>1.5</v>
      </c>
      <c r="G243" s="223"/>
      <c r="H243" s="19">
        <v>50</v>
      </c>
      <c r="I243" s="19">
        <v>1</v>
      </c>
      <c r="J243" s="180">
        <f t="shared" si="36"/>
        <v>31.5</v>
      </c>
      <c r="K243" s="180">
        <f t="shared" si="37"/>
        <v>5.5</v>
      </c>
      <c r="L243" s="180">
        <f t="shared" ref="L243:L245" si="38">F243*18+10</f>
        <v>37</v>
      </c>
      <c r="M243" s="415">
        <v>0.56999999999999995</v>
      </c>
      <c r="N243" s="415">
        <f t="shared" ref="N243:N254" si="39">M243*34.12</f>
        <v>19.448399999999996</v>
      </c>
      <c r="O243" s="144"/>
      <c r="P243" s="142"/>
    </row>
    <row r="244" spans="1:17" s="72" customFormat="1" ht="21" customHeight="1">
      <c r="A244" s="171"/>
      <c r="B244" s="171"/>
      <c r="C244" s="171">
        <v>23</v>
      </c>
      <c r="D244" s="172" t="s">
        <v>276</v>
      </c>
      <c r="E244" s="25">
        <v>32</v>
      </c>
      <c r="F244" s="209">
        <v>1.5</v>
      </c>
      <c r="G244" s="173"/>
      <c r="H244" s="25">
        <v>50</v>
      </c>
      <c r="I244" s="25">
        <v>1</v>
      </c>
      <c r="J244" s="181">
        <f t="shared" si="36"/>
        <v>31.5</v>
      </c>
      <c r="K244" s="181">
        <f t="shared" si="37"/>
        <v>5.5</v>
      </c>
      <c r="L244" s="181">
        <f t="shared" si="38"/>
        <v>37</v>
      </c>
      <c r="M244" s="416">
        <v>0.56999999999999995</v>
      </c>
      <c r="N244" s="416">
        <f t="shared" si="39"/>
        <v>19.448399999999996</v>
      </c>
      <c r="O244" s="144"/>
      <c r="P244" s="142"/>
    </row>
    <row r="245" spans="1:17" s="72" customFormat="1" ht="21" customHeight="1">
      <c r="A245" s="171"/>
      <c r="B245" s="171"/>
      <c r="C245" s="171">
        <v>24</v>
      </c>
      <c r="D245" s="172" t="s">
        <v>277</v>
      </c>
      <c r="E245" s="25">
        <v>45</v>
      </c>
      <c r="F245" s="209">
        <v>2</v>
      </c>
      <c r="G245" s="25"/>
      <c r="H245" s="25">
        <v>50</v>
      </c>
      <c r="I245" s="25">
        <v>1</v>
      </c>
      <c r="J245" s="181">
        <f t="shared" si="36"/>
        <v>39</v>
      </c>
      <c r="K245" s="181">
        <f t="shared" si="37"/>
        <v>7</v>
      </c>
      <c r="L245" s="181">
        <f t="shared" si="38"/>
        <v>46</v>
      </c>
      <c r="M245" s="416">
        <v>0.56999999999999995</v>
      </c>
      <c r="N245" s="416">
        <f t="shared" si="39"/>
        <v>19.448399999999996</v>
      </c>
      <c r="O245" s="144"/>
      <c r="P245" s="142"/>
    </row>
    <row r="246" spans="1:17" s="72" customFormat="1" ht="21" customHeight="1">
      <c r="A246" s="171"/>
      <c r="B246" s="171"/>
      <c r="C246" s="171">
        <v>25</v>
      </c>
      <c r="D246" s="172" t="s">
        <v>278</v>
      </c>
      <c r="E246" s="25">
        <v>70</v>
      </c>
      <c r="F246" s="209">
        <v>1.6</v>
      </c>
      <c r="G246" s="173"/>
      <c r="H246" s="25">
        <v>100</v>
      </c>
      <c r="I246" s="25">
        <v>1</v>
      </c>
      <c r="J246" s="181">
        <f>F246*15+10</f>
        <v>34</v>
      </c>
      <c r="K246" s="181">
        <f>F246*3+1</f>
        <v>5.8000000000000007</v>
      </c>
      <c r="L246" s="181">
        <f>F246*18+11</f>
        <v>39.799999999999997</v>
      </c>
      <c r="M246" s="416">
        <v>1.76</v>
      </c>
      <c r="N246" s="416">
        <f t="shared" si="39"/>
        <v>60.051199999999994</v>
      </c>
      <c r="O246" s="144"/>
      <c r="P246" s="142"/>
    </row>
    <row r="247" spans="1:17" s="72" customFormat="1" ht="21" customHeight="1">
      <c r="A247" s="171"/>
      <c r="B247" s="171"/>
      <c r="C247" s="171">
        <v>26</v>
      </c>
      <c r="D247" s="172" t="s">
        <v>182</v>
      </c>
      <c r="E247" s="25">
        <v>135</v>
      </c>
      <c r="F247" s="708">
        <v>2</v>
      </c>
      <c r="G247" s="710"/>
      <c r="H247" s="710">
        <v>200</v>
      </c>
      <c r="I247" s="710">
        <v>1</v>
      </c>
      <c r="J247" s="693">
        <f>F247*15+11.5</f>
        <v>41.5</v>
      </c>
      <c r="K247" s="693">
        <f>F247*3+1</f>
        <v>7</v>
      </c>
      <c r="L247" s="693">
        <f>F247*18+12.5</f>
        <v>48.5</v>
      </c>
      <c r="M247" s="692">
        <v>1</v>
      </c>
      <c r="N247" s="692">
        <f t="shared" si="39"/>
        <v>34.119999999999997</v>
      </c>
      <c r="O247" s="144"/>
      <c r="P247" s="142"/>
    </row>
    <row r="248" spans="1:17" s="72" customFormat="1" ht="21" customHeight="1">
      <c r="A248" s="171"/>
      <c r="B248" s="171"/>
      <c r="C248" s="171">
        <v>27</v>
      </c>
      <c r="D248" s="172" t="s">
        <v>216</v>
      </c>
      <c r="E248" s="25">
        <v>20</v>
      </c>
      <c r="F248" s="708"/>
      <c r="G248" s="710"/>
      <c r="H248" s="710"/>
      <c r="I248" s="721"/>
      <c r="J248" s="693"/>
      <c r="K248" s="693"/>
      <c r="L248" s="693"/>
      <c r="M248" s="692"/>
      <c r="N248" s="692"/>
      <c r="O248" s="144"/>
      <c r="P248" s="142"/>
    </row>
    <row r="249" spans="1:17" s="72" customFormat="1" ht="21" customHeight="1">
      <c r="A249" s="171"/>
      <c r="B249" s="171"/>
      <c r="C249" s="171">
        <v>28</v>
      </c>
      <c r="D249" s="172" t="s">
        <v>275</v>
      </c>
      <c r="E249" s="25">
        <v>276</v>
      </c>
      <c r="F249" s="209">
        <v>2</v>
      </c>
      <c r="G249" s="25"/>
      <c r="H249" s="25">
        <v>200</v>
      </c>
      <c r="I249" s="25">
        <v>1</v>
      </c>
      <c r="J249" s="181">
        <f>F249*15+11.5</f>
        <v>41.5</v>
      </c>
      <c r="K249" s="181">
        <f>F249*3+1</f>
        <v>7</v>
      </c>
      <c r="L249" s="181">
        <f>F249*18+12.5</f>
        <v>48.5</v>
      </c>
      <c r="M249" s="416">
        <v>1</v>
      </c>
      <c r="N249" s="416">
        <f t="shared" si="39"/>
        <v>34.119999999999997</v>
      </c>
      <c r="O249" s="144"/>
      <c r="P249" s="142"/>
    </row>
    <row r="250" spans="1:17" s="72" customFormat="1" ht="21" customHeight="1">
      <c r="A250" s="171"/>
      <c r="B250" s="171"/>
      <c r="C250" s="171">
        <v>29</v>
      </c>
      <c r="D250" s="172" t="s">
        <v>279</v>
      </c>
      <c r="E250" s="25">
        <v>65</v>
      </c>
      <c r="F250" s="209">
        <v>1.6</v>
      </c>
      <c r="G250" s="173"/>
      <c r="H250" s="25">
        <v>100</v>
      </c>
      <c r="I250" s="25">
        <v>1</v>
      </c>
      <c r="J250" s="181">
        <f t="shared" ref="J250:J251" si="40">F250*15+10</f>
        <v>34</v>
      </c>
      <c r="K250" s="181">
        <f t="shared" ref="K250:K251" si="41">F250*3+1</f>
        <v>5.8000000000000007</v>
      </c>
      <c r="L250" s="181">
        <f>F250*18+11</f>
        <v>39.799999999999997</v>
      </c>
      <c r="M250" s="416">
        <v>0.76</v>
      </c>
      <c r="N250" s="416">
        <f t="shared" si="39"/>
        <v>25.931199999999997</v>
      </c>
      <c r="O250" s="144"/>
      <c r="P250" s="142"/>
    </row>
    <row r="251" spans="1:17" s="72" customFormat="1" ht="21" customHeight="1">
      <c r="A251" s="171"/>
      <c r="B251" s="171"/>
      <c r="C251" s="171">
        <v>30</v>
      </c>
      <c r="D251" s="172" t="s">
        <v>280</v>
      </c>
      <c r="E251" s="25">
        <v>52</v>
      </c>
      <c r="F251" s="209">
        <v>2</v>
      </c>
      <c r="G251" s="25"/>
      <c r="H251" s="25">
        <v>100</v>
      </c>
      <c r="I251" s="25">
        <v>1</v>
      </c>
      <c r="J251" s="181">
        <f t="shared" si="40"/>
        <v>40</v>
      </c>
      <c r="K251" s="181">
        <f t="shared" si="41"/>
        <v>7</v>
      </c>
      <c r="L251" s="181">
        <f t="shared" ref="L251" si="42">F251*18+11</f>
        <v>47</v>
      </c>
      <c r="M251" s="416">
        <v>0.76</v>
      </c>
      <c r="N251" s="416">
        <f t="shared" si="39"/>
        <v>25.931199999999997</v>
      </c>
      <c r="O251" s="144"/>
      <c r="P251" s="142"/>
    </row>
    <row r="252" spans="1:17" s="72" customFormat="1" ht="21" customHeight="1">
      <c r="A252" s="171"/>
      <c r="B252" s="171"/>
      <c r="C252" s="171">
        <v>31</v>
      </c>
      <c r="D252" s="172" t="s">
        <v>281</v>
      </c>
      <c r="E252" s="25">
        <v>23</v>
      </c>
      <c r="F252" s="209">
        <v>2</v>
      </c>
      <c r="G252" s="25"/>
      <c r="H252" s="25">
        <v>50</v>
      </c>
      <c r="I252" s="25">
        <v>1</v>
      </c>
      <c r="J252" s="181">
        <f>F252*15+9</f>
        <v>39</v>
      </c>
      <c r="K252" s="181">
        <f>F252*3+1</f>
        <v>7</v>
      </c>
      <c r="L252" s="181">
        <f>F252*18+10</f>
        <v>46</v>
      </c>
      <c r="M252" s="416">
        <v>0.56999999999999995</v>
      </c>
      <c r="N252" s="416">
        <f t="shared" si="39"/>
        <v>19.448399999999996</v>
      </c>
      <c r="O252" s="144"/>
      <c r="P252" s="142"/>
    </row>
    <row r="253" spans="1:17" s="72" customFormat="1" ht="21" customHeight="1">
      <c r="A253" s="171"/>
      <c r="B253" s="171"/>
      <c r="C253" s="171">
        <v>32</v>
      </c>
      <c r="D253" s="172" t="s">
        <v>282</v>
      </c>
      <c r="E253" s="25">
        <v>83</v>
      </c>
      <c r="F253" s="209">
        <v>2</v>
      </c>
      <c r="G253" s="25"/>
      <c r="H253" s="25">
        <v>100</v>
      </c>
      <c r="I253" s="25">
        <v>1</v>
      </c>
      <c r="J253" s="181">
        <f t="shared" ref="J253" si="43">F253*15+10</f>
        <v>40</v>
      </c>
      <c r="K253" s="181">
        <f t="shared" ref="K253" si="44">F253*3+1</f>
        <v>7</v>
      </c>
      <c r="L253" s="181">
        <f>F253*18+11</f>
        <v>47</v>
      </c>
      <c r="M253" s="416">
        <v>0.56999999999999995</v>
      </c>
      <c r="N253" s="416">
        <f t="shared" si="39"/>
        <v>19.448399999999996</v>
      </c>
      <c r="O253" s="144"/>
      <c r="P253" s="142"/>
    </row>
    <row r="254" spans="1:17" s="72" customFormat="1" ht="21" customHeight="1">
      <c r="A254" s="175"/>
      <c r="B254" s="175"/>
      <c r="C254" s="175">
        <v>33</v>
      </c>
      <c r="D254" s="176" t="s">
        <v>283</v>
      </c>
      <c r="E254" s="32">
        <v>194</v>
      </c>
      <c r="F254" s="210">
        <v>1.5</v>
      </c>
      <c r="G254" s="224"/>
      <c r="H254" s="32">
        <v>200</v>
      </c>
      <c r="I254" s="32">
        <v>1</v>
      </c>
      <c r="J254" s="182">
        <f>F254*15+11.5</f>
        <v>34</v>
      </c>
      <c r="K254" s="182">
        <f>F254*3+1</f>
        <v>5.5</v>
      </c>
      <c r="L254" s="182">
        <f>F254*18+12.5</f>
        <v>39.5</v>
      </c>
      <c r="M254" s="417">
        <v>0.76</v>
      </c>
      <c r="N254" s="417">
        <f t="shared" si="39"/>
        <v>25.931199999999997</v>
      </c>
      <c r="O254" s="144"/>
      <c r="P254" s="142"/>
      <c r="Q254" s="72">
        <f>33+36+28+36</f>
        <v>133</v>
      </c>
    </row>
    <row r="255" spans="1:17" s="5" customFormat="1" ht="21" customHeight="1">
      <c r="A255" s="186"/>
      <c r="B255" s="186" t="s">
        <v>759</v>
      </c>
      <c r="C255" s="186"/>
      <c r="D255" s="187" t="s">
        <v>760</v>
      </c>
      <c r="E255" s="66">
        <f>SUM(E217:E254)</f>
        <v>2504</v>
      </c>
      <c r="F255" s="67">
        <f>SUM(F217:F254)</f>
        <v>56.02</v>
      </c>
      <c r="G255" s="220"/>
      <c r="H255" s="66">
        <f>SUM(H217:H254)</f>
        <v>3400</v>
      </c>
      <c r="I255" s="66">
        <v>32</v>
      </c>
      <c r="J255" s="69">
        <f>SUM(J217:J254)</f>
        <v>1160.3000000000002</v>
      </c>
      <c r="K255" s="69">
        <f>SUM(K217:K254)</f>
        <v>200.06000000000003</v>
      </c>
      <c r="L255" s="69">
        <f>SUM(L217:L254)</f>
        <v>1360.36</v>
      </c>
      <c r="M255" s="420">
        <f t="shared" ref="M255:N255" si="45">SUM(M217:M254)</f>
        <v>25.100000000000009</v>
      </c>
      <c r="N255" s="420">
        <f t="shared" si="45"/>
        <v>856.41199999999992</v>
      </c>
      <c r="O255" s="3"/>
      <c r="P255" s="4"/>
    </row>
    <row r="256" spans="1:17" s="5" customFormat="1" ht="21" customHeight="1">
      <c r="A256" s="186"/>
      <c r="B256" s="186" t="s">
        <v>759</v>
      </c>
      <c r="C256" s="186"/>
      <c r="D256" s="187" t="s">
        <v>783</v>
      </c>
      <c r="E256" s="66">
        <f>E255+E208+E153+E112</f>
        <v>8728</v>
      </c>
      <c r="F256" s="67">
        <v>126.72</v>
      </c>
      <c r="G256" s="220"/>
      <c r="H256" s="66">
        <f t="shared" ref="H256:M256" si="46">H255+H208+H153+H112</f>
        <v>8350</v>
      </c>
      <c r="I256" s="66">
        <f t="shared" si="46"/>
        <v>110</v>
      </c>
      <c r="J256" s="69">
        <f t="shared" si="46"/>
        <v>2943.7000000000003</v>
      </c>
      <c r="K256" s="69">
        <f t="shared" si="46"/>
        <v>489.61000000000007</v>
      </c>
      <c r="L256" s="69">
        <f t="shared" si="46"/>
        <v>3434.18</v>
      </c>
      <c r="M256" s="420">
        <f t="shared" si="46"/>
        <v>72.79000000000002</v>
      </c>
      <c r="N256" s="420">
        <f t="shared" ref="N256" si="47">N255+N208+N153+N112</f>
        <v>2483.5947999999999</v>
      </c>
      <c r="O256" s="3"/>
      <c r="P256" s="4"/>
    </row>
    <row r="257" spans="1:18" s="72" customFormat="1">
      <c r="A257" s="132"/>
      <c r="B257" s="132"/>
      <c r="C257" s="132"/>
      <c r="D257" s="132"/>
      <c r="E257" s="133"/>
      <c r="F257" s="134"/>
      <c r="G257" s="134"/>
      <c r="H257" s="133"/>
      <c r="I257" s="147"/>
      <c r="J257" s="135"/>
      <c r="K257" s="135"/>
      <c r="L257" s="135"/>
      <c r="M257" s="419"/>
      <c r="N257" s="419"/>
      <c r="O257" s="144"/>
      <c r="P257" s="142"/>
    </row>
    <row r="258" spans="1:18" s="72" customFormat="1">
      <c r="A258" s="125"/>
      <c r="B258" s="125"/>
      <c r="C258" s="125"/>
      <c r="D258" s="125"/>
      <c r="E258" s="126"/>
      <c r="F258" s="129"/>
      <c r="G258" s="129"/>
      <c r="H258" s="126"/>
      <c r="J258" s="128"/>
      <c r="K258" s="128"/>
      <c r="L258" s="128"/>
      <c r="M258" s="419"/>
      <c r="N258" s="419"/>
      <c r="O258" s="144"/>
      <c r="P258" s="142"/>
    </row>
    <row r="259" spans="1:18" s="72" customFormat="1">
      <c r="A259" s="125"/>
      <c r="B259" s="125"/>
      <c r="C259" s="125"/>
      <c r="D259" s="125"/>
      <c r="E259" s="126"/>
      <c r="F259" s="129"/>
      <c r="G259" s="129"/>
      <c r="H259" s="126"/>
      <c r="J259" s="128"/>
      <c r="K259" s="128"/>
      <c r="L259" s="128"/>
      <c r="M259" s="419"/>
      <c r="N259" s="419"/>
      <c r="O259" s="144"/>
      <c r="P259" s="142"/>
    </row>
    <row r="260" spans="1:18" s="72" customFormat="1">
      <c r="A260" s="125"/>
      <c r="B260" s="125"/>
      <c r="C260" s="125"/>
      <c r="D260" s="125"/>
      <c r="E260" s="126"/>
      <c r="F260" s="129"/>
      <c r="G260" s="129"/>
      <c r="H260" s="126"/>
      <c r="J260" s="128"/>
      <c r="K260" s="128"/>
      <c r="L260" s="128"/>
      <c r="M260" s="419"/>
      <c r="N260" s="419"/>
      <c r="O260" s="144"/>
      <c r="P260" s="142"/>
    </row>
    <row r="261" spans="1:18" s="72" customFormat="1">
      <c r="A261" s="125"/>
      <c r="B261" s="125"/>
      <c r="C261" s="125"/>
      <c r="D261" s="125"/>
      <c r="E261" s="126"/>
      <c r="F261" s="129"/>
      <c r="G261" s="129"/>
      <c r="H261" s="126"/>
      <c r="J261" s="128"/>
      <c r="K261" s="128"/>
      <c r="L261" s="128"/>
      <c r="M261" s="419"/>
      <c r="N261" s="419"/>
      <c r="O261" s="144"/>
      <c r="P261" s="142"/>
    </row>
    <row r="262" spans="1:18" s="72" customFormat="1">
      <c r="A262" s="125"/>
      <c r="B262" s="125"/>
      <c r="C262" s="125"/>
      <c r="D262" s="125"/>
      <c r="E262" s="126"/>
      <c r="F262" s="129"/>
      <c r="G262" s="129"/>
      <c r="H262" s="126"/>
      <c r="J262" s="128"/>
      <c r="K262" s="128"/>
      <c r="L262" s="128"/>
      <c r="M262" s="419"/>
      <c r="N262" s="419"/>
      <c r="O262" s="144"/>
      <c r="P262" s="142"/>
    </row>
    <row r="263" spans="1:18">
      <c r="A263" s="691" t="s">
        <v>284</v>
      </c>
      <c r="B263" s="691"/>
      <c r="C263" s="691"/>
      <c r="D263" s="691"/>
      <c r="E263" s="691"/>
      <c r="F263" s="691"/>
      <c r="G263" s="691"/>
      <c r="H263" s="691"/>
      <c r="I263" s="691"/>
      <c r="J263" s="691"/>
      <c r="K263" s="691"/>
      <c r="L263" s="691"/>
    </row>
    <row r="264" spans="1:18" s="5" customFormat="1" ht="27.75" customHeight="1">
      <c r="A264" s="654" t="s">
        <v>1</v>
      </c>
      <c r="B264" s="632" t="s">
        <v>755</v>
      </c>
      <c r="C264" s="646" t="s">
        <v>21</v>
      </c>
      <c r="D264" s="647"/>
      <c r="E264" s="652" t="s">
        <v>756</v>
      </c>
      <c r="F264" s="654" t="s">
        <v>3</v>
      </c>
      <c r="G264" s="654"/>
      <c r="H264" s="654"/>
      <c r="I264" s="654"/>
      <c r="J264" s="654" t="s">
        <v>761</v>
      </c>
      <c r="K264" s="654"/>
      <c r="L264" s="654"/>
      <c r="M264" s="644" t="s">
        <v>857</v>
      </c>
      <c r="N264" s="644"/>
    </row>
    <row r="265" spans="1:18" s="5" customFormat="1" ht="40.5" customHeight="1">
      <c r="A265" s="654"/>
      <c r="B265" s="633"/>
      <c r="C265" s="648"/>
      <c r="D265" s="649"/>
      <c r="E265" s="652"/>
      <c r="F265" s="652" t="s">
        <v>757</v>
      </c>
      <c r="G265" s="652" t="s">
        <v>5</v>
      </c>
      <c r="H265" s="652" t="s">
        <v>6</v>
      </c>
      <c r="I265" s="652"/>
      <c r="J265" s="652" t="s">
        <v>22</v>
      </c>
      <c r="K265" s="652" t="s">
        <v>762</v>
      </c>
      <c r="L265" s="654" t="s">
        <v>8</v>
      </c>
      <c r="M265" s="644"/>
      <c r="N265" s="644"/>
    </row>
    <row r="266" spans="1:18" s="5" customFormat="1" ht="58.5" customHeight="1">
      <c r="A266" s="632"/>
      <c r="B266" s="634"/>
      <c r="C266" s="650"/>
      <c r="D266" s="651"/>
      <c r="E266" s="653"/>
      <c r="F266" s="653"/>
      <c r="G266" s="653"/>
      <c r="H266" s="381" t="s">
        <v>9</v>
      </c>
      <c r="I266" s="381" t="s">
        <v>10</v>
      </c>
      <c r="J266" s="653"/>
      <c r="K266" s="632"/>
      <c r="L266" s="632"/>
      <c r="M266" s="382" t="s">
        <v>753</v>
      </c>
      <c r="N266" s="383" t="s">
        <v>754</v>
      </c>
    </row>
    <row r="267" spans="1:18" s="72" customFormat="1" ht="21.95" customHeight="1">
      <c r="A267" s="178"/>
      <c r="B267" s="261" t="s">
        <v>784</v>
      </c>
      <c r="C267" s="178">
        <v>1</v>
      </c>
      <c r="D267" s="170" t="s">
        <v>285</v>
      </c>
      <c r="E267" s="178">
        <v>122</v>
      </c>
      <c r="F267" s="180">
        <v>0.5</v>
      </c>
      <c r="G267" s="249"/>
      <c r="H267" s="178">
        <v>100</v>
      </c>
      <c r="I267" s="169">
        <v>1</v>
      </c>
      <c r="J267" s="180">
        <f>F267*15+10</f>
        <v>17.5</v>
      </c>
      <c r="K267" s="180">
        <f>F267*3+1</f>
        <v>2.5</v>
      </c>
      <c r="L267" s="250">
        <f>F267*18+11</f>
        <v>20</v>
      </c>
      <c r="M267" s="426">
        <v>0.76</v>
      </c>
      <c r="N267" s="426">
        <f>M267*34.12</f>
        <v>25.931199999999997</v>
      </c>
      <c r="O267" s="146">
        <f t="shared" ref="O267:O285" si="48">K267+J267</f>
        <v>20</v>
      </c>
      <c r="P267" s="72">
        <f t="shared" ref="P267:P285" si="49">18*F267</f>
        <v>9</v>
      </c>
      <c r="Q267" s="144">
        <v>11</v>
      </c>
      <c r="R267" s="142">
        <f t="shared" ref="R267:R283" si="50">SUM(P267:Q267)</f>
        <v>20</v>
      </c>
    </row>
    <row r="268" spans="1:18" s="72" customFormat="1" ht="21.95" customHeight="1">
      <c r="A268" s="208"/>
      <c r="B268" s="262" t="s">
        <v>785</v>
      </c>
      <c r="C268" s="208">
        <v>2</v>
      </c>
      <c r="D268" s="172" t="s">
        <v>286</v>
      </c>
      <c r="E268" s="208">
        <v>108</v>
      </c>
      <c r="F268" s="181">
        <v>0.25</v>
      </c>
      <c r="G268" s="207"/>
      <c r="H268" s="208">
        <v>100</v>
      </c>
      <c r="I268" s="171">
        <v>1</v>
      </c>
      <c r="J268" s="181">
        <f>F268*15+10</f>
        <v>13.75</v>
      </c>
      <c r="K268" s="181">
        <f>F268*3+1</f>
        <v>1.75</v>
      </c>
      <c r="L268" s="251">
        <f t="shared" ref="L268:L285" si="51">R268</f>
        <v>15.5</v>
      </c>
      <c r="M268" s="427">
        <v>0.76</v>
      </c>
      <c r="N268" s="427">
        <f t="shared" ref="N268:N285" si="52">M268*34.12</f>
        <v>25.931199999999997</v>
      </c>
      <c r="O268" s="146">
        <f t="shared" si="48"/>
        <v>15.5</v>
      </c>
      <c r="P268" s="72">
        <f t="shared" si="49"/>
        <v>4.5</v>
      </c>
      <c r="Q268" s="144">
        <v>11</v>
      </c>
      <c r="R268" s="142">
        <f t="shared" si="50"/>
        <v>15.5</v>
      </c>
    </row>
    <row r="269" spans="1:18" s="72" customFormat="1" ht="21.95" customHeight="1">
      <c r="A269" s="208"/>
      <c r="B269" s="208"/>
      <c r="C269" s="208">
        <v>3</v>
      </c>
      <c r="D269" s="172" t="s">
        <v>287</v>
      </c>
      <c r="E269" s="208">
        <v>189</v>
      </c>
      <c r="F269" s="181">
        <v>0.5</v>
      </c>
      <c r="G269" s="252"/>
      <c r="H269" s="208">
        <v>160</v>
      </c>
      <c r="I269" s="171">
        <v>1</v>
      </c>
      <c r="J269" s="181">
        <f>F269*15+11</f>
        <v>18.5</v>
      </c>
      <c r="K269" s="181">
        <f>F269*3+1</f>
        <v>2.5</v>
      </c>
      <c r="L269" s="251">
        <f t="shared" si="51"/>
        <v>21</v>
      </c>
      <c r="M269" s="427">
        <v>0.8</v>
      </c>
      <c r="N269" s="427">
        <f t="shared" si="52"/>
        <v>27.295999999999999</v>
      </c>
      <c r="O269" s="146">
        <f t="shared" si="48"/>
        <v>21</v>
      </c>
      <c r="P269" s="72">
        <f t="shared" si="49"/>
        <v>9</v>
      </c>
      <c r="Q269" s="144">
        <v>12</v>
      </c>
      <c r="R269" s="142">
        <f t="shared" si="50"/>
        <v>21</v>
      </c>
    </row>
    <row r="270" spans="1:18" s="72" customFormat="1" ht="21.95" customHeight="1">
      <c r="A270" s="208"/>
      <c r="B270" s="208"/>
      <c r="C270" s="208">
        <v>4</v>
      </c>
      <c r="D270" s="172" t="s">
        <v>288</v>
      </c>
      <c r="E270" s="208">
        <v>65</v>
      </c>
      <c r="F270" s="181">
        <v>0.4</v>
      </c>
      <c r="G270" s="252"/>
      <c r="H270" s="208">
        <v>50</v>
      </c>
      <c r="I270" s="171">
        <v>1</v>
      </c>
      <c r="J270" s="181">
        <f>F270*15+9</f>
        <v>15</v>
      </c>
      <c r="K270" s="181">
        <f>F270*3+1</f>
        <v>2.2000000000000002</v>
      </c>
      <c r="L270" s="251">
        <f t="shared" si="51"/>
        <v>17.2</v>
      </c>
      <c r="M270" s="427">
        <v>0.56999999999999995</v>
      </c>
      <c r="N270" s="427">
        <f t="shared" si="52"/>
        <v>19.448399999999996</v>
      </c>
      <c r="O270" s="146">
        <f t="shared" si="48"/>
        <v>17.2</v>
      </c>
      <c r="P270" s="72">
        <f t="shared" si="49"/>
        <v>7.2</v>
      </c>
      <c r="Q270" s="144">
        <v>10</v>
      </c>
      <c r="R270" s="142">
        <f t="shared" si="50"/>
        <v>17.2</v>
      </c>
    </row>
    <row r="271" spans="1:18" s="72" customFormat="1" ht="21.95" customHeight="1">
      <c r="A271" s="208"/>
      <c r="B271" s="208"/>
      <c r="C271" s="208">
        <v>5</v>
      </c>
      <c r="D271" s="172" t="s">
        <v>289</v>
      </c>
      <c r="E271" s="208">
        <v>21</v>
      </c>
      <c r="F271" s="181">
        <v>0.2</v>
      </c>
      <c r="G271" s="252"/>
      <c r="H271" s="208">
        <v>50</v>
      </c>
      <c r="I271" s="171">
        <v>1</v>
      </c>
      <c r="J271" s="181">
        <f t="shared" ref="J271:J275" si="53">F271*15+9</f>
        <v>12</v>
      </c>
      <c r="K271" s="181">
        <f t="shared" ref="K271:K275" si="54">F271*3+1</f>
        <v>1.6</v>
      </c>
      <c r="L271" s="251">
        <f t="shared" si="51"/>
        <v>13.6</v>
      </c>
      <c r="M271" s="427">
        <v>0.56999999999999995</v>
      </c>
      <c r="N271" s="427">
        <f t="shared" si="52"/>
        <v>19.448399999999996</v>
      </c>
      <c r="O271" s="146">
        <f t="shared" si="48"/>
        <v>13.6</v>
      </c>
      <c r="P271" s="72">
        <f t="shared" si="49"/>
        <v>3.6</v>
      </c>
      <c r="Q271" s="144">
        <v>10</v>
      </c>
      <c r="R271" s="142">
        <f t="shared" si="50"/>
        <v>13.6</v>
      </c>
    </row>
    <row r="272" spans="1:18" s="72" customFormat="1" ht="21.95" customHeight="1">
      <c r="A272" s="208"/>
      <c r="B272" s="208"/>
      <c r="C272" s="208">
        <v>6</v>
      </c>
      <c r="D272" s="172" t="s">
        <v>290</v>
      </c>
      <c r="E272" s="208">
        <v>35</v>
      </c>
      <c r="F272" s="181">
        <v>0.5</v>
      </c>
      <c r="G272" s="252"/>
      <c r="H272" s="208">
        <v>50</v>
      </c>
      <c r="I272" s="171">
        <v>1</v>
      </c>
      <c r="J272" s="181">
        <f t="shared" si="53"/>
        <v>16.5</v>
      </c>
      <c r="K272" s="181">
        <f t="shared" si="54"/>
        <v>2.5</v>
      </c>
      <c r="L272" s="251">
        <f t="shared" si="51"/>
        <v>19</v>
      </c>
      <c r="M272" s="427">
        <v>0.56999999999999995</v>
      </c>
      <c r="N272" s="427">
        <f t="shared" si="52"/>
        <v>19.448399999999996</v>
      </c>
      <c r="O272" s="146">
        <f t="shared" si="48"/>
        <v>19</v>
      </c>
      <c r="P272" s="72">
        <f t="shared" si="49"/>
        <v>9</v>
      </c>
      <c r="Q272" s="144">
        <v>10</v>
      </c>
      <c r="R272" s="142">
        <f t="shared" si="50"/>
        <v>19</v>
      </c>
    </row>
    <row r="273" spans="1:18" s="72" customFormat="1" ht="21.95" customHeight="1">
      <c r="A273" s="208"/>
      <c r="B273" s="208"/>
      <c r="C273" s="208">
        <v>7</v>
      </c>
      <c r="D273" s="172" t="s">
        <v>291</v>
      </c>
      <c r="E273" s="208">
        <v>21</v>
      </c>
      <c r="F273" s="181">
        <v>0.7</v>
      </c>
      <c r="G273" s="252"/>
      <c r="H273" s="208">
        <v>50</v>
      </c>
      <c r="I273" s="171">
        <v>1</v>
      </c>
      <c r="J273" s="181">
        <f t="shared" si="53"/>
        <v>19.5</v>
      </c>
      <c r="K273" s="181">
        <f t="shared" si="54"/>
        <v>3.0999999999999996</v>
      </c>
      <c r="L273" s="251">
        <f t="shared" si="51"/>
        <v>22.6</v>
      </c>
      <c r="M273" s="427">
        <v>0.56999999999999995</v>
      </c>
      <c r="N273" s="427">
        <f t="shared" si="52"/>
        <v>19.448399999999996</v>
      </c>
      <c r="O273" s="146">
        <f t="shared" si="48"/>
        <v>22.6</v>
      </c>
      <c r="P273" s="72">
        <f t="shared" si="49"/>
        <v>12.6</v>
      </c>
      <c r="Q273" s="144">
        <v>10</v>
      </c>
      <c r="R273" s="142">
        <f t="shared" si="50"/>
        <v>22.6</v>
      </c>
    </row>
    <row r="274" spans="1:18" s="72" customFormat="1" ht="21.95" customHeight="1">
      <c r="A274" s="208"/>
      <c r="B274" s="208"/>
      <c r="C274" s="208">
        <v>8</v>
      </c>
      <c r="D274" s="172" t="s">
        <v>292</v>
      </c>
      <c r="E274" s="208">
        <v>46</v>
      </c>
      <c r="F274" s="181">
        <v>1.5</v>
      </c>
      <c r="G274" s="252"/>
      <c r="H274" s="208">
        <v>50</v>
      </c>
      <c r="I274" s="171">
        <v>1</v>
      </c>
      <c r="J274" s="181">
        <f t="shared" si="53"/>
        <v>31.5</v>
      </c>
      <c r="K274" s="181">
        <f t="shared" si="54"/>
        <v>5.5</v>
      </c>
      <c r="L274" s="251">
        <f t="shared" si="51"/>
        <v>37</v>
      </c>
      <c r="M274" s="427">
        <v>0.56999999999999995</v>
      </c>
      <c r="N274" s="427">
        <f t="shared" si="52"/>
        <v>19.448399999999996</v>
      </c>
      <c r="O274" s="146">
        <f t="shared" si="48"/>
        <v>37</v>
      </c>
      <c r="P274" s="72">
        <f t="shared" si="49"/>
        <v>27</v>
      </c>
      <c r="Q274" s="144">
        <v>10</v>
      </c>
      <c r="R274" s="142">
        <f t="shared" si="50"/>
        <v>37</v>
      </c>
    </row>
    <row r="275" spans="1:18" s="72" customFormat="1" ht="21.95" customHeight="1">
      <c r="A275" s="208"/>
      <c r="B275" s="208"/>
      <c r="C275" s="208">
        <v>9</v>
      </c>
      <c r="D275" s="172" t="s">
        <v>293</v>
      </c>
      <c r="E275" s="208">
        <v>48</v>
      </c>
      <c r="F275" s="181">
        <v>0.5</v>
      </c>
      <c r="G275" s="252"/>
      <c r="H275" s="208">
        <v>50</v>
      </c>
      <c r="I275" s="171">
        <v>1</v>
      </c>
      <c r="J275" s="181">
        <f t="shared" si="53"/>
        <v>16.5</v>
      </c>
      <c r="K275" s="181">
        <f t="shared" si="54"/>
        <v>2.5</v>
      </c>
      <c r="L275" s="251">
        <f t="shared" si="51"/>
        <v>19</v>
      </c>
      <c r="M275" s="427">
        <v>0.56999999999999995</v>
      </c>
      <c r="N275" s="427">
        <f t="shared" si="52"/>
        <v>19.448399999999996</v>
      </c>
      <c r="O275" s="146">
        <f t="shared" si="48"/>
        <v>19</v>
      </c>
      <c r="P275" s="72">
        <f t="shared" si="49"/>
        <v>9</v>
      </c>
      <c r="Q275" s="144">
        <v>10</v>
      </c>
      <c r="R275" s="142">
        <f t="shared" si="50"/>
        <v>19</v>
      </c>
    </row>
    <row r="276" spans="1:18" s="72" customFormat="1" ht="21.95" customHeight="1">
      <c r="A276" s="208"/>
      <c r="B276" s="208"/>
      <c r="C276" s="208">
        <v>10</v>
      </c>
      <c r="D276" s="172" t="s">
        <v>294</v>
      </c>
      <c r="E276" s="208">
        <v>90</v>
      </c>
      <c r="F276" s="181">
        <v>0.2</v>
      </c>
      <c r="G276" s="252"/>
      <c r="H276" s="208">
        <v>100</v>
      </c>
      <c r="I276" s="171">
        <v>1</v>
      </c>
      <c r="J276" s="181">
        <f>F276*15+10</f>
        <v>13</v>
      </c>
      <c r="K276" s="181">
        <f>F276*3+1</f>
        <v>1.6</v>
      </c>
      <c r="L276" s="251">
        <f t="shared" si="51"/>
        <v>14.6</v>
      </c>
      <c r="M276" s="427">
        <v>0.76</v>
      </c>
      <c r="N276" s="427">
        <f t="shared" si="52"/>
        <v>25.931199999999997</v>
      </c>
      <c r="O276" s="146">
        <f t="shared" si="48"/>
        <v>14.6</v>
      </c>
      <c r="P276" s="72">
        <f t="shared" si="49"/>
        <v>3.6</v>
      </c>
      <c r="Q276" s="144">
        <v>11</v>
      </c>
      <c r="R276" s="142">
        <f t="shared" si="50"/>
        <v>14.6</v>
      </c>
    </row>
    <row r="277" spans="1:18" s="72" customFormat="1" ht="21.95" customHeight="1">
      <c r="A277" s="208"/>
      <c r="B277" s="208"/>
      <c r="C277" s="208">
        <v>11</v>
      </c>
      <c r="D277" s="172" t="s">
        <v>295</v>
      </c>
      <c r="E277" s="208">
        <v>131</v>
      </c>
      <c r="F277" s="181">
        <v>0.37</v>
      </c>
      <c r="G277" s="207"/>
      <c r="H277" s="208">
        <v>160</v>
      </c>
      <c r="I277" s="171">
        <v>1</v>
      </c>
      <c r="J277" s="181">
        <f>F277*15+11</f>
        <v>16.55</v>
      </c>
      <c r="K277" s="181">
        <f>F277*3+1</f>
        <v>2.11</v>
      </c>
      <c r="L277" s="251">
        <f t="shared" si="51"/>
        <v>18.66</v>
      </c>
      <c r="M277" s="427">
        <v>0.8</v>
      </c>
      <c r="N277" s="427">
        <f t="shared" si="52"/>
        <v>27.295999999999999</v>
      </c>
      <c r="O277" s="146">
        <f t="shared" si="48"/>
        <v>18.66</v>
      </c>
      <c r="P277" s="72">
        <f t="shared" si="49"/>
        <v>6.66</v>
      </c>
      <c r="Q277" s="144">
        <v>12</v>
      </c>
      <c r="R277" s="142">
        <f t="shared" si="50"/>
        <v>18.66</v>
      </c>
    </row>
    <row r="278" spans="1:18" s="72" customFormat="1" ht="21.95" customHeight="1">
      <c r="A278" s="208"/>
      <c r="B278" s="208"/>
      <c r="C278" s="208">
        <v>12</v>
      </c>
      <c r="D278" s="172" t="s">
        <v>296</v>
      </c>
      <c r="E278" s="208">
        <v>84</v>
      </c>
      <c r="F278" s="181">
        <v>1.5</v>
      </c>
      <c r="G278" s="252"/>
      <c r="H278" s="208">
        <v>100</v>
      </c>
      <c r="I278" s="171">
        <v>1</v>
      </c>
      <c r="J278" s="181">
        <f>F278*15+10</f>
        <v>32.5</v>
      </c>
      <c r="K278" s="181">
        <f>F278*3+1</f>
        <v>5.5</v>
      </c>
      <c r="L278" s="251">
        <f t="shared" si="51"/>
        <v>38</v>
      </c>
      <c r="M278" s="427">
        <v>0.76</v>
      </c>
      <c r="N278" s="427">
        <f t="shared" si="52"/>
        <v>25.931199999999997</v>
      </c>
      <c r="O278" s="146">
        <f t="shared" si="48"/>
        <v>38</v>
      </c>
      <c r="P278" s="72">
        <f t="shared" si="49"/>
        <v>27</v>
      </c>
      <c r="Q278" s="144">
        <v>11</v>
      </c>
      <c r="R278" s="142">
        <f t="shared" si="50"/>
        <v>38</v>
      </c>
    </row>
    <row r="279" spans="1:18" s="72" customFormat="1" ht="21.95" customHeight="1">
      <c r="A279" s="208"/>
      <c r="B279" s="208"/>
      <c r="C279" s="208">
        <v>13</v>
      </c>
      <c r="D279" s="172" t="s">
        <v>297</v>
      </c>
      <c r="E279" s="208">
        <v>32</v>
      </c>
      <c r="F279" s="181">
        <v>1.8</v>
      </c>
      <c r="G279" s="252"/>
      <c r="H279" s="208">
        <v>50</v>
      </c>
      <c r="I279" s="171">
        <v>1</v>
      </c>
      <c r="J279" s="181">
        <f t="shared" ref="J279:J284" si="55">F279*15+9</f>
        <v>36</v>
      </c>
      <c r="K279" s="181">
        <f t="shared" ref="K279:K297" si="56">F279*3+1</f>
        <v>6.4</v>
      </c>
      <c r="L279" s="251">
        <f t="shared" si="51"/>
        <v>42.4</v>
      </c>
      <c r="M279" s="427">
        <v>0.56999999999999995</v>
      </c>
      <c r="N279" s="427">
        <f t="shared" si="52"/>
        <v>19.448399999999996</v>
      </c>
      <c r="O279" s="146">
        <f t="shared" si="48"/>
        <v>42.4</v>
      </c>
      <c r="P279" s="72">
        <f t="shared" si="49"/>
        <v>32.4</v>
      </c>
      <c r="Q279" s="144">
        <v>10</v>
      </c>
      <c r="R279" s="142">
        <f t="shared" si="50"/>
        <v>42.4</v>
      </c>
    </row>
    <row r="280" spans="1:18" s="72" customFormat="1" ht="21.95" customHeight="1">
      <c r="A280" s="208"/>
      <c r="B280" s="208"/>
      <c r="C280" s="208">
        <v>14</v>
      </c>
      <c r="D280" s="172" t="s">
        <v>298</v>
      </c>
      <c r="E280" s="208">
        <v>46</v>
      </c>
      <c r="F280" s="181">
        <v>1.2</v>
      </c>
      <c r="G280" s="252"/>
      <c r="H280" s="208">
        <v>50</v>
      </c>
      <c r="I280" s="171">
        <v>1</v>
      </c>
      <c r="J280" s="181">
        <f t="shared" si="55"/>
        <v>27</v>
      </c>
      <c r="K280" s="181">
        <f t="shared" si="56"/>
        <v>4.5999999999999996</v>
      </c>
      <c r="L280" s="251">
        <f t="shared" si="51"/>
        <v>31.599999999999998</v>
      </c>
      <c r="M280" s="427">
        <v>0.56999999999999995</v>
      </c>
      <c r="N280" s="427">
        <f t="shared" si="52"/>
        <v>19.448399999999996</v>
      </c>
      <c r="O280" s="146">
        <f t="shared" si="48"/>
        <v>31.6</v>
      </c>
      <c r="P280" s="72">
        <f t="shared" si="49"/>
        <v>21.599999999999998</v>
      </c>
      <c r="Q280" s="144">
        <v>10</v>
      </c>
      <c r="R280" s="142">
        <f t="shared" si="50"/>
        <v>31.599999999999998</v>
      </c>
    </row>
    <row r="281" spans="1:18" s="72" customFormat="1" ht="21.95" customHeight="1">
      <c r="A281" s="208"/>
      <c r="B281" s="208"/>
      <c r="C281" s="208">
        <v>15</v>
      </c>
      <c r="D281" s="172" t="s">
        <v>299</v>
      </c>
      <c r="E281" s="208">
        <v>25</v>
      </c>
      <c r="F281" s="181">
        <v>1.5</v>
      </c>
      <c r="G281" s="252"/>
      <c r="H281" s="208">
        <v>50</v>
      </c>
      <c r="I281" s="171">
        <v>1</v>
      </c>
      <c r="J281" s="181">
        <f t="shared" si="55"/>
        <v>31.5</v>
      </c>
      <c r="K281" s="181">
        <f t="shared" si="56"/>
        <v>5.5</v>
      </c>
      <c r="L281" s="251">
        <f t="shared" si="51"/>
        <v>37</v>
      </c>
      <c r="M281" s="427">
        <v>0.56999999999999995</v>
      </c>
      <c r="N281" s="427">
        <f t="shared" si="52"/>
        <v>19.448399999999996</v>
      </c>
      <c r="O281" s="146">
        <f t="shared" si="48"/>
        <v>37</v>
      </c>
      <c r="P281" s="72">
        <f t="shared" si="49"/>
        <v>27</v>
      </c>
      <c r="Q281" s="144">
        <v>10</v>
      </c>
      <c r="R281" s="142">
        <f t="shared" si="50"/>
        <v>37</v>
      </c>
    </row>
    <row r="282" spans="1:18" s="72" customFormat="1" ht="21.95" customHeight="1">
      <c r="A282" s="208"/>
      <c r="B282" s="208"/>
      <c r="C282" s="208">
        <v>16</v>
      </c>
      <c r="D282" s="172" t="s">
        <v>300</v>
      </c>
      <c r="E282" s="208">
        <v>58</v>
      </c>
      <c r="F282" s="181">
        <v>1.3</v>
      </c>
      <c r="G282" s="252"/>
      <c r="H282" s="208">
        <v>50</v>
      </c>
      <c r="I282" s="171">
        <v>1</v>
      </c>
      <c r="J282" s="181">
        <f t="shared" si="55"/>
        <v>28.5</v>
      </c>
      <c r="K282" s="181">
        <f t="shared" si="56"/>
        <v>4.9000000000000004</v>
      </c>
      <c r="L282" s="251">
        <f t="shared" si="51"/>
        <v>33.400000000000006</v>
      </c>
      <c r="M282" s="427">
        <v>0.56999999999999995</v>
      </c>
      <c r="N282" s="427">
        <f t="shared" si="52"/>
        <v>19.448399999999996</v>
      </c>
      <c r="O282" s="146">
        <f t="shared" si="48"/>
        <v>33.4</v>
      </c>
      <c r="P282" s="72">
        <f t="shared" si="49"/>
        <v>23.400000000000002</v>
      </c>
      <c r="Q282" s="144">
        <v>10</v>
      </c>
      <c r="R282" s="142">
        <f t="shared" si="50"/>
        <v>33.400000000000006</v>
      </c>
    </row>
    <row r="283" spans="1:18" s="72" customFormat="1" ht="21.95" customHeight="1">
      <c r="A283" s="208"/>
      <c r="B283" s="208"/>
      <c r="C283" s="208">
        <v>17</v>
      </c>
      <c r="D283" s="172" t="s">
        <v>301</v>
      </c>
      <c r="E283" s="208">
        <v>32</v>
      </c>
      <c r="F283" s="181">
        <v>1.2</v>
      </c>
      <c r="G283" s="179"/>
      <c r="H283" s="208">
        <v>50</v>
      </c>
      <c r="I283" s="171">
        <v>1</v>
      </c>
      <c r="J283" s="181">
        <f t="shared" si="55"/>
        <v>27</v>
      </c>
      <c r="K283" s="181">
        <f t="shared" si="56"/>
        <v>4.5999999999999996</v>
      </c>
      <c r="L283" s="251">
        <f t="shared" si="51"/>
        <v>31.599999999999998</v>
      </c>
      <c r="M283" s="427">
        <v>0.56999999999999995</v>
      </c>
      <c r="N283" s="427">
        <f t="shared" si="52"/>
        <v>19.448399999999996</v>
      </c>
      <c r="O283" s="146">
        <f t="shared" si="48"/>
        <v>31.6</v>
      </c>
      <c r="P283" s="72">
        <f t="shared" si="49"/>
        <v>21.599999999999998</v>
      </c>
      <c r="Q283" s="144">
        <v>10</v>
      </c>
      <c r="R283" s="142">
        <f t="shared" si="50"/>
        <v>31.599999999999998</v>
      </c>
    </row>
    <row r="284" spans="1:18" s="72" customFormat="1" ht="21.95" customHeight="1">
      <c r="A284" s="208"/>
      <c r="B284" s="208"/>
      <c r="C284" s="208">
        <v>18</v>
      </c>
      <c r="D284" s="172" t="s">
        <v>302</v>
      </c>
      <c r="E284" s="208">
        <v>56</v>
      </c>
      <c r="F284" s="181">
        <v>0.3</v>
      </c>
      <c r="G284" s="252"/>
      <c r="H284" s="208">
        <v>50</v>
      </c>
      <c r="I284" s="171">
        <v>1</v>
      </c>
      <c r="J284" s="181">
        <f t="shared" si="55"/>
        <v>13.5</v>
      </c>
      <c r="K284" s="181">
        <f t="shared" si="56"/>
        <v>1.9</v>
      </c>
      <c r="L284" s="251">
        <f t="shared" si="51"/>
        <v>15.399999999999999</v>
      </c>
      <c r="M284" s="427">
        <v>0.56999999999999995</v>
      </c>
      <c r="N284" s="427">
        <f t="shared" si="52"/>
        <v>19.448399999999996</v>
      </c>
      <c r="O284" s="146">
        <f t="shared" si="48"/>
        <v>15.4</v>
      </c>
      <c r="P284" s="72">
        <f t="shared" si="49"/>
        <v>5.3999999999999995</v>
      </c>
      <c r="Q284" s="144">
        <v>10</v>
      </c>
      <c r="R284" s="142">
        <f>SUM(P284:Q284)</f>
        <v>15.399999999999999</v>
      </c>
    </row>
    <row r="285" spans="1:18" s="72" customFormat="1" ht="21.95" customHeight="1">
      <c r="A285" s="253"/>
      <c r="B285" s="253"/>
      <c r="C285" s="253">
        <v>19</v>
      </c>
      <c r="D285" s="176" t="s">
        <v>209</v>
      </c>
      <c r="E285" s="253">
        <v>89</v>
      </c>
      <c r="F285" s="182">
        <v>0.4</v>
      </c>
      <c r="G285" s="263"/>
      <c r="H285" s="253">
        <v>100</v>
      </c>
      <c r="I285" s="175">
        <v>1</v>
      </c>
      <c r="J285" s="182">
        <f t="shared" ref="J285:J297" si="57">F285*15+10</f>
        <v>16</v>
      </c>
      <c r="K285" s="182">
        <f t="shared" si="56"/>
        <v>2.2000000000000002</v>
      </c>
      <c r="L285" s="254">
        <f t="shared" si="51"/>
        <v>18.2</v>
      </c>
      <c r="M285" s="428">
        <v>0.76</v>
      </c>
      <c r="N285" s="428">
        <f t="shared" si="52"/>
        <v>25.931199999999997</v>
      </c>
      <c r="O285" s="146">
        <f t="shared" si="48"/>
        <v>18.2</v>
      </c>
      <c r="P285" s="72">
        <f t="shared" si="49"/>
        <v>7.2</v>
      </c>
      <c r="Q285" s="144">
        <v>11</v>
      </c>
      <c r="R285" s="142">
        <f>SUM(P285:Q285)</f>
        <v>18.2</v>
      </c>
    </row>
    <row r="286" spans="1:18" s="5" customFormat="1" ht="21.95" customHeight="1">
      <c r="A286" s="149"/>
      <c r="B286" s="149"/>
      <c r="C286" s="149"/>
      <c r="E286" s="149"/>
      <c r="F286" s="227"/>
      <c r="G286" s="227"/>
      <c r="H286" s="149"/>
      <c r="I286" s="150"/>
      <c r="J286" s="151"/>
      <c r="K286" s="151"/>
      <c r="L286" s="148"/>
      <c r="M286" s="429"/>
      <c r="N286" s="429"/>
      <c r="O286" s="148"/>
      <c r="Q286" s="3"/>
      <c r="R286" s="4"/>
    </row>
    <row r="287" spans="1:18" s="5" customFormat="1" ht="21.95" customHeight="1">
      <c r="A287" s="149"/>
      <c r="B287" s="149"/>
      <c r="C287" s="149"/>
      <c r="E287" s="149"/>
      <c r="F287" s="227"/>
      <c r="G287" s="227"/>
      <c r="H287" s="149"/>
      <c r="I287" s="150"/>
      <c r="J287" s="151"/>
      <c r="K287" s="151"/>
      <c r="L287" s="148"/>
      <c r="M287" s="429"/>
      <c r="N287" s="429"/>
      <c r="O287" s="148"/>
      <c r="Q287" s="3"/>
      <c r="R287" s="4"/>
    </row>
    <row r="288" spans="1:18" s="228" customFormat="1">
      <c r="A288" s="691" t="s">
        <v>284</v>
      </c>
      <c r="B288" s="691"/>
      <c r="C288" s="691"/>
      <c r="D288" s="691"/>
      <c r="E288" s="691"/>
      <c r="F288" s="691"/>
      <c r="G288" s="691"/>
      <c r="H288" s="691"/>
      <c r="I288" s="691"/>
      <c r="J288" s="691"/>
      <c r="K288" s="691"/>
      <c r="L288" s="691"/>
      <c r="M288" s="378"/>
      <c r="N288" s="378"/>
    </row>
    <row r="289" spans="1:18" s="5" customFormat="1" ht="27.75" customHeight="1">
      <c r="A289" s="654" t="s">
        <v>1</v>
      </c>
      <c r="B289" s="632" t="s">
        <v>755</v>
      </c>
      <c r="C289" s="646" t="s">
        <v>21</v>
      </c>
      <c r="D289" s="647"/>
      <c r="E289" s="652" t="s">
        <v>756</v>
      </c>
      <c r="F289" s="654" t="s">
        <v>3</v>
      </c>
      <c r="G289" s="654"/>
      <c r="H289" s="654"/>
      <c r="I289" s="654"/>
      <c r="J289" s="654" t="s">
        <v>761</v>
      </c>
      <c r="K289" s="654"/>
      <c r="L289" s="654"/>
      <c r="M289" s="644" t="s">
        <v>857</v>
      </c>
      <c r="N289" s="644"/>
    </row>
    <row r="290" spans="1:18" s="5" customFormat="1" ht="40.5" customHeight="1">
      <c r="A290" s="654"/>
      <c r="B290" s="633"/>
      <c r="C290" s="648"/>
      <c r="D290" s="649"/>
      <c r="E290" s="652"/>
      <c r="F290" s="652" t="s">
        <v>757</v>
      </c>
      <c r="G290" s="652" t="s">
        <v>5</v>
      </c>
      <c r="H290" s="652" t="s">
        <v>6</v>
      </c>
      <c r="I290" s="652"/>
      <c r="J290" s="652" t="s">
        <v>22</v>
      </c>
      <c r="K290" s="652" t="s">
        <v>762</v>
      </c>
      <c r="L290" s="654" t="s">
        <v>8</v>
      </c>
      <c r="M290" s="644"/>
      <c r="N290" s="644"/>
    </row>
    <row r="291" spans="1:18" s="5" customFormat="1" ht="58.5" customHeight="1">
      <c r="A291" s="632"/>
      <c r="B291" s="634"/>
      <c r="C291" s="650"/>
      <c r="D291" s="651"/>
      <c r="E291" s="653"/>
      <c r="F291" s="653"/>
      <c r="G291" s="653"/>
      <c r="H291" s="381" t="s">
        <v>9</v>
      </c>
      <c r="I291" s="381" t="s">
        <v>10</v>
      </c>
      <c r="J291" s="653"/>
      <c r="K291" s="632"/>
      <c r="L291" s="632"/>
      <c r="M291" s="382" t="s">
        <v>753</v>
      </c>
      <c r="N291" s="383" t="s">
        <v>754</v>
      </c>
    </row>
    <row r="292" spans="1:18" s="72" customFormat="1" ht="21.95" customHeight="1">
      <c r="A292" s="178"/>
      <c r="B292" s="261" t="s">
        <v>784</v>
      </c>
      <c r="C292" s="178">
        <v>20</v>
      </c>
      <c r="D292" s="170" t="s">
        <v>303</v>
      </c>
      <c r="E292" s="178">
        <v>62</v>
      </c>
      <c r="F292" s="180">
        <v>0.4</v>
      </c>
      <c r="G292" s="249"/>
      <c r="H292" s="178">
        <v>100</v>
      </c>
      <c r="I292" s="169">
        <v>1</v>
      </c>
      <c r="J292" s="180">
        <f t="shared" si="57"/>
        <v>16</v>
      </c>
      <c r="K292" s="180">
        <f t="shared" si="56"/>
        <v>2.2000000000000002</v>
      </c>
      <c r="L292" s="250">
        <f t="shared" ref="L292:L301" si="58">R292</f>
        <v>18.2</v>
      </c>
      <c r="M292" s="426">
        <v>0.76</v>
      </c>
      <c r="N292" s="426">
        <f t="shared" ref="N292:N310" si="59">M292*34.12</f>
        <v>25.931199999999997</v>
      </c>
      <c r="O292" s="146">
        <f t="shared" ref="O292:O301" si="60">K292+J292</f>
        <v>18.2</v>
      </c>
      <c r="P292" s="72">
        <f t="shared" ref="P292:P301" si="61">18*F292</f>
        <v>7.2</v>
      </c>
      <c r="Q292" s="144">
        <v>11</v>
      </c>
      <c r="R292" s="142">
        <f t="shared" ref="R292:R352" si="62">SUM(P292:Q292)</f>
        <v>18.2</v>
      </c>
    </row>
    <row r="293" spans="1:18" s="72" customFormat="1" ht="21.95" customHeight="1">
      <c r="A293" s="208"/>
      <c r="B293" s="262" t="s">
        <v>785</v>
      </c>
      <c r="C293" s="208">
        <v>21</v>
      </c>
      <c r="D293" s="172" t="s">
        <v>304</v>
      </c>
      <c r="E293" s="208">
        <v>58</v>
      </c>
      <c r="F293" s="181">
        <v>0.8</v>
      </c>
      <c r="G293" s="252"/>
      <c r="H293" s="208">
        <v>100</v>
      </c>
      <c r="I293" s="171">
        <v>1</v>
      </c>
      <c r="J293" s="181">
        <f t="shared" si="57"/>
        <v>22</v>
      </c>
      <c r="K293" s="181">
        <f t="shared" si="56"/>
        <v>3.4000000000000004</v>
      </c>
      <c r="L293" s="251">
        <f t="shared" si="58"/>
        <v>25.4</v>
      </c>
      <c r="M293" s="427">
        <v>0.76</v>
      </c>
      <c r="N293" s="427">
        <f t="shared" si="59"/>
        <v>25.931199999999997</v>
      </c>
      <c r="O293" s="146">
        <f t="shared" si="60"/>
        <v>25.4</v>
      </c>
      <c r="P293" s="72">
        <f t="shared" si="61"/>
        <v>14.4</v>
      </c>
      <c r="Q293" s="144">
        <v>11</v>
      </c>
      <c r="R293" s="142">
        <f t="shared" si="62"/>
        <v>25.4</v>
      </c>
    </row>
    <row r="294" spans="1:18" s="72" customFormat="1" ht="21.95" customHeight="1">
      <c r="A294" s="208"/>
      <c r="B294" s="208"/>
      <c r="C294" s="208">
        <v>22</v>
      </c>
      <c r="D294" s="172" t="s">
        <v>305</v>
      </c>
      <c r="E294" s="208">
        <v>45</v>
      </c>
      <c r="F294" s="181">
        <v>0.6</v>
      </c>
      <c r="G294" s="252"/>
      <c r="H294" s="208">
        <v>100</v>
      </c>
      <c r="I294" s="171">
        <v>1</v>
      </c>
      <c r="J294" s="181">
        <f t="shared" si="57"/>
        <v>19</v>
      </c>
      <c r="K294" s="181">
        <f t="shared" si="56"/>
        <v>2.8</v>
      </c>
      <c r="L294" s="251">
        <f t="shared" si="58"/>
        <v>21.799999999999997</v>
      </c>
      <c r="M294" s="427">
        <v>0.76</v>
      </c>
      <c r="N294" s="427">
        <f t="shared" si="59"/>
        <v>25.931199999999997</v>
      </c>
      <c r="O294" s="146">
        <f t="shared" si="60"/>
        <v>21.8</v>
      </c>
      <c r="P294" s="72">
        <f t="shared" si="61"/>
        <v>10.799999999999999</v>
      </c>
      <c r="Q294" s="144">
        <v>11</v>
      </c>
      <c r="R294" s="142">
        <f t="shared" si="62"/>
        <v>21.799999999999997</v>
      </c>
    </row>
    <row r="295" spans="1:18" s="72" customFormat="1" ht="21.95" customHeight="1">
      <c r="A295" s="208"/>
      <c r="B295" s="208"/>
      <c r="C295" s="208">
        <v>23</v>
      </c>
      <c r="D295" s="172" t="s">
        <v>306</v>
      </c>
      <c r="E295" s="208">
        <v>93</v>
      </c>
      <c r="F295" s="181">
        <v>0.3</v>
      </c>
      <c r="G295" s="252"/>
      <c r="H295" s="208">
        <v>100</v>
      </c>
      <c r="I295" s="171">
        <v>1</v>
      </c>
      <c r="J295" s="181">
        <f t="shared" si="57"/>
        <v>14.5</v>
      </c>
      <c r="K295" s="181">
        <f t="shared" si="56"/>
        <v>1.9</v>
      </c>
      <c r="L295" s="251">
        <f t="shared" si="58"/>
        <v>16.399999999999999</v>
      </c>
      <c r="M295" s="427">
        <v>0.76</v>
      </c>
      <c r="N295" s="427">
        <f t="shared" si="59"/>
        <v>25.931199999999997</v>
      </c>
      <c r="O295" s="146">
        <f t="shared" si="60"/>
        <v>16.399999999999999</v>
      </c>
      <c r="P295" s="72">
        <f t="shared" si="61"/>
        <v>5.3999999999999995</v>
      </c>
      <c r="Q295" s="144">
        <v>11</v>
      </c>
      <c r="R295" s="142">
        <f t="shared" si="62"/>
        <v>16.399999999999999</v>
      </c>
    </row>
    <row r="296" spans="1:18" s="72" customFormat="1" ht="21.95" customHeight="1">
      <c r="A296" s="208"/>
      <c r="B296" s="208"/>
      <c r="C296" s="208">
        <v>24</v>
      </c>
      <c r="D296" s="172" t="s">
        <v>307</v>
      </c>
      <c r="E296" s="208">
        <v>75</v>
      </c>
      <c r="F296" s="181">
        <v>0.7</v>
      </c>
      <c r="G296" s="252"/>
      <c r="H296" s="208">
        <v>100</v>
      </c>
      <c r="I296" s="171">
        <v>1</v>
      </c>
      <c r="J296" s="181">
        <f t="shared" si="57"/>
        <v>20.5</v>
      </c>
      <c r="K296" s="181">
        <f t="shared" si="56"/>
        <v>3.0999999999999996</v>
      </c>
      <c r="L296" s="251">
        <f t="shared" si="58"/>
        <v>23.6</v>
      </c>
      <c r="M296" s="427">
        <v>0.76</v>
      </c>
      <c r="N296" s="427">
        <f t="shared" si="59"/>
        <v>25.931199999999997</v>
      </c>
      <c r="O296" s="146">
        <f t="shared" si="60"/>
        <v>23.6</v>
      </c>
      <c r="P296" s="72">
        <f t="shared" si="61"/>
        <v>12.6</v>
      </c>
      <c r="Q296" s="144">
        <v>11</v>
      </c>
      <c r="R296" s="142">
        <f t="shared" si="62"/>
        <v>23.6</v>
      </c>
    </row>
    <row r="297" spans="1:18" s="72" customFormat="1" ht="21.95" customHeight="1">
      <c r="A297" s="208"/>
      <c r="B297" s="208"/>
      <c r="C297" s="208">
        <v>25</v>
      </c>
      <c r="D297" s="172" t="s">
        <v>308</v>
      </c>
      <c r="E297" s="208">
        <v>46</v>
      </c>
      <c r="F297" s="181">
        <v>0.5</v>
      </c>
      <c r="G297" s="252"/>
      <c r="H297" s="208">
        <v>100</v>
      </c>
      <c r="I297" s="171">
        <v>1</v>
      </c>
      <c r="J297" s="181">
        <f t="shared" si="57"/>
        <v>17.5</v>
      </c>
      <c r="K297" s="181">
        <f t="shared" si="56"/>
        <v>2.5</v>
      </c>
      <c r="L297" s="251">
        <f t="shared" si="58"/>
        <v>20</v>
      </c>
      <c r="M297" s="427">
        <v>0.76</v>
      </c>
      <c r="N297" s="427">
        <f t="shared" si="59"/>
        <v>25.931199999999997</v>
      </c>
      <c r="O297" s="146">
        <f t="shared" si="60"/>
        <v>20</v>
      </c>
      <c r="P297" s="72">
        <f t="shared" si="61"/>
        <v>9</v>
      </c>
      <c r="Q297" s="144">
        <v>11</v>
      </c>
      <c r="R297" s="142">
        <f t="shared" si="62"/>
        <v>20</v>
      </c>
    </row>
    <row r="298" spans="1:18" s="72" customFormat="1" ht="21.95" customHeight="1">
      <c r="A298" s="208"/>
      <c r="B298" s="208"/>
      <c r="C298" s="208">
        <v>26</v>
      </c>
      <c r="D298" s="172" t="s">
        <v>309</v>
      </c>
      <c r="E298" s="208">
        <v>90</v>
      </c>
      <c r="F298" s="181">
        <v>0.18</v>
      </c>
      <c r="G298" s="207"/>
      <c r="H298" s="208">
        <v>160</v>
      </c>
      <c r="I298" s="171">
        <v>1</v>
      </c>
      <c r="J298" s="181">
        <f>F298*15+11</f>
        <v>13.7</v>
      </c>
      <c r="K298" s="181">
        <f>F298*3+1</f>
        <v>1.54</v>
      </c>
      <c r="L298" s="251">
        <f t="shared" si="58"/>
        <v>15.24</v>
      </c>
      <c r="M298" s="427">
        <v>0.8</v>
      </c>
      <c r="N298" s="427">
        <f t="shared" si="59"/>
        <v>27.295999999999999</v>
      </c>
      <c r="O298" s="146">
        <f t="shared" si="60"/>
        <v>15.239999999999998</v>
      </c>
      <c r="P298" s="72">
        <f t="shared" si="61"/>
        <v>3.2399999999999998</v>
      </c>
      <c r="Q298" s="144">
        <v>12</v>
      </c>
      <c r="R298" s="142">
        <f t="shared" si="62"/>
        <v>15.24</v>
      </c>
    </row>
    <row r="299" spans="1:18" s="72" customFormat="1" ht="21.95" customHeight="1">
      <c r="A299" s="208"/>
      <c r="B299" s="208"/>
      <c r="C299" s="208">
        <v>27</v>
      </c>
      <c r="D299" s="172" t="s">
        <v>310</v>
      </c>
      <c r="E299" s="208">
        <v>39</v>
      </c>
      <c r="F299" s="181">
        <v>0.52</v>
      </c>
      <c r="G299" s="207"/>
      <c r="H299" s="208">
        <v>100</v>
      </c>
      <c r="I299" s="171">
        <v>1</v>
      </c>
      <c r="J299" s="181">
        <f>F299*15+10</f>
        <v>17.8</v>
      </c>
      <c r="K299" s="181">
        <f>F299*3+1</f>
        <v>2.56</v>
      </c>
      <c r="L299" s="251">
        <f t="shared" si="58"/>
        <v>20.36</v>
      </c>
      <c r="M299" s="427">
        <v>0.76</v>
      </c>
      <c r="N299" s="427">
        <f t="shared" si="59"/>
        <v>25.931199999999997</v>
      </c>
      <c r="O299" s="146">
        <f t="shared" si="60"/>
        <v>20.36</v>
      </c>
      <c r="P299" s="72">
        <f t="shared" si="61"/>
        <v>9.36</v>
      </c>
      <c r="Q299" s="144">
        <v>11</v>
      </c>
      <c r="R299" s="142">
        <f t="shared" si="62"/>
        <v>20.36</v>
      </c>
    </row>
    <row r="300" spans="1:18" s="72" customFormat="1" ht="21.95" customHeight="1">
      <c r="A300" s="208"/>
      <c r="B300" s="208"/>
      <c r="C300" s="208">
        <v>28</v>
      </c>
      <c r="D300" s="172" t="s">
        <v>311</v>
      </c>
      <c r="E300" s="208">
        <v>49</v>
      </c>
      <c r="F300" s="181">
        <v>0.5</v>
      </c>
      <c r="G300" s="252"/>
      <c r="H300" s="208">
        <v>50</v>
      </c>
      <c r="I300" s="171">
        <v>1</v>
      </c>
      <c r="J300" s="181">
        <f t="shared" ref="J300" si="63">F300*15+9</f>
        <v>16.5</v>
      </c>
      <c r="K300" s="181">
        <f t="shared" ref="K300" si="64">F300*3+1</f>
        <v>2.5</v>
      </c>
      <c r="L300" s="251">
        <f t="shared" si="58"/>
        <v>19</v>
      </c>
      <c r="M300" s="427">
        <v>0.56999999999999995</v>
      </c>
      <c r="N300" s="427">
        <f t="shared" si="59"/>
        <v>19.448399999999996</v>
      </c>
      <c r="O300" s="146">
        <f t="shared" si="60"/>
        <v>19</v>
      </c>
      <c r="P300" s="72">
        <f t="shared" si="61"/>
        <v>9</v>
      </c>
      <c r="Q300" s="144">
        <v>10</v>
      </c>
      <c r="R300" s="142">
        <f t="shared" si="62"/>
        <v>19</v>
      </c>
    </row>
    <row r="301" spans="1:18" s="72" customFormat="1" ht="21.95" customHeight="1">
      <c r="A301" s="255"/>
      <c r="B301" s="255"/>
      <c r="C301" s="720">
        <v>29</v>
      </c>
      <c r="D301" s="256" t="s">
        <v>312</v>
      </c>
      <c r="E301" s="255">
        <v>290</v>
      </c>
      <c r="F301" s="257">
        <v>0.2</v>
      </c>
      <c r="G301" s="258"/>
      <c r="H301" s="255">
        <v>160</v>
      </c>
      <c r="I301" s="259">
        <v>1</v>
      </c>
      <c r="J301" s="257">
        <f>F301*15+11</f>
        <v>14</v>
      </c>
      <c r="K301" s="257">
        <f>F301*3+1</f>
        <v>1.6</v>
      </c>
      <c r="L301" s="260">
        <f t="shared" si="58"/>
        <v>15.6</v>
      </c>
      <c r="M301" s="692">
        <v>0.8</v>
      </c>
      <c r="N301" s="692">
        <f t="shared" si="59"/>
        <v>27.295999999999999</v>
      </c>
      <c r="O301" s="146">
        <f t="shared" si="60"/>
        <v>15.6</v>
      </c>
      <c r="P301" s="72">
        <f t="shared" si="61"/>
        <v>3.6</v>
      </c>
      <c r="Q301" s="144">
        <v>12</v>
      </c>
      <c r="R301" s="142">
        <f t="shared" si="62"/>
        <v>15.6</v>
      </c>
    </row>
    <row r="302" spans="1:18" s="72" customFormat="1" ht="21.95" customHeight="1">
      <c r="A302" s="255"/>
      <c r="B302" s="255"/>
      <c r="C302" s="720"/>
      <c r="D302" s="256" t="s">
        <v>313</v>
      </c>
      <c r="E302" s="255"/>
      <c r="F302" s="257"/>
      <c r="G302" s="258"/>
      <c r="H302" s="255"/>
      <c r="I302" s="259"/>
      <c r="J302" s="257"/>
      <c r="K302" s="257"/>
      <c r="L302" s="260"/>
      <c r="M302" s="692"/>
      <c r="N302" s="692"/>
      <c r="O302" s="146"/>
      <c r="Q302" s="144"/>
      <c r="R302" s="142"/>
    </row>
    <row r="303" spans="1:18" s="72" customFormat="1" ht="21.95" customHeight="1">
      <c r="A303" s="208"/>
      <c r="B303" s="208"/>
      <c r="C303" s="208">
        <v>30</v>
      </c>
      <c r="D303" s="172" t="s">
        <v>314</v>
      </c>
      <c r="E303" s="208">
        <v>89</v>
      </c>
      <c r="F303" s="181">
        <v>0.5</v>
      </c>
      <c r="G303" s="252"/>
      <c r="H303" s="208">
        <v>100</v>
      </c>
      <c r="I303" s="171">
        <v>1</v>
      </c>
      <c r="J303" s="181">
        <f>F303*15+10</f>
        <v>17.5</v>
      </c>
      <c r="K303" s="181">
        <f>F303*3+1</f>
        <v>2.5</v>
      </c>
      <c r="L303" s="251">
        <f t="shared" ref="L303:L310" si="65">R303</f>
        <v>20</v>
      </c>
      <c r="M303" s="427">
        <v>0.76</v>
      </c>
      <c r="N303" s="427">
        <f t="shared" si="59"/>
        <v>25.931199999999997</v>
      </c>
      <c r="O303" s="146">
        <f t="shared" ref="O303:O310" si="66">K303+J303</f>
        <v>20</v>
      </c>
      <c r="P303" s="72">
        <f t="shared" ref="P303:P310" si="67">18*F303</f>
        <v>9</v>
      </c>
      <c r="Q303" s="144">
        <v>11</v>
      </c>
      <c r="R303" s="142">
        <f t="shared" si="62"/>
        <v>20</v>
      </c>
    </row>
    <row r="304" spans="1:18" s="72" customFormat="1" ht="21.95" customHeight="1">
      <c r="A304" s="208"/>
      <c r="B304" s="208"/>
      <c r="C304" s="208">
        <v>31</v>
      </c>
      <c r="D304" s="172" t="s">
        <v>201</v>
      </c>
      <c r="E304" s="208">
        <v>27</v>
      </c>
      <c r="F304" s="181">
        <v>0.2</v>
      </c>
      <c r="G304" s="252"/>
      <c r="H304" s="208">
        <v>50</v>
      </c>
      <c r="I304" s="171">
        <v>1</v>
      </c>
      <c r="J304" s="181">
        <f>F304*15+9</f>
        <v>12</v>
      </c>
      <c r="K304" s="181">
        <f t="shared" ref="K304" si="68">F304*3+1</f>
        <v>1.6</v>
      </c>
      <c r="L304" s="251">
        <f t="shared" si="65"/>
        <v>13.6</v>
      </c>
      <c r="M304" s="427">
        <v>0.56999999999999995</v>
      </c>
      <c r="N304" s="427">
        <f t="shared" si="59"/>
        <v>19.448399999999996</v>
      </c>
      <c r="O304" s="146">
        <f t="shared" si="66"/>
        <v>13.6</v>
      </c>
      <c r="P304" s="72">
        <f t="shared" si="67"/>
        <v>3.6</v>
      </c>
      <c r="Q304" s="144">
        <v>10</v>
      </c>
      <c r="R304" s="142">
        <f t="shared" si="62"/>
        <v>13.6</v>
      </c>
    </row>
    <row r="305" spans="1:18" s="72" customFormat="1" ht="21.95" customHeight="1">
      <c r="A305" s="208"/>
      <c r="B305" s="208"/>
      <c r="C305" s="208">
        <v>32</v>
      </c>
      <c r="D305" s="172" t="s">
        <v>315</v>
      </c>
      <c r="E305" s="208">
        <v>62</v>
      </c>
      <c r="F305" s="181">
        <v>0.3</v>
      </c>
      <c r="G305" s="252"/>
      <c r="H305" s="208">
        <v>100</v>
      </c>
      <c r="I305" s="171">
        <v>1</v>
      </c>
      <c r="J305" s="181">
        <f>F305*15+10</f>
        <v>14.5</v>
      </c>
      <c r="K305" s="181">
        <f>F305*3+1</f>
        <v>1.9</v>
      </c>
      <c r="L305" s="251">
        <f t="shared" si="65"/>
        <v>16.399999999999999</v>
      </c>
      <c r="M305" s="427">
        <v>0.76</v>
      </c>
      <c r="N305" s="427">
        <f t="shared" si="59"/>
        <v>25.931199999999997</v>
      </c>
      <c r="O305" s="146">
        <f t="shared" si="66"/>
        <v>16.399999999999999</v>
      </c>
      <c r="P305" s="72">
        <f t="shared" si="67"/>
        <v>5.3999999999999995</v>
      </c>
      <c r="Q305" s="144">
        <v>11</v>
      </c>
      <c r="R305" s="142">
        <f t="shared" si="62"/>
        <v>16.399999999999999</v>
      </c>
    </row>
    <row r="306" spans="1:18" s="72" customFormat="1" ht="21.95" customHeight="1">
      <c r="A306" s="208"/>
      <c r="B306" s="208"/>
      <c r="C306" s="208">
        <v>33</v>
      </c>
      <c r="D306" s="172" t="s">
        <v>316</v>
      </c>
      <c r="E306" s="208">
        <v>18</v>
      </c>
      <c r="F306" s="181">
        <v>0.4</v>
      </c>
      <c r="G306" s="252"/>
      <c r="H306" s="208">
        <v>50</v>
      </c>
      <c r="I306" s="171">
        <v>1</v>
      </c>
      <c r="J306" s="181">
        <f>F306*15+9</f>
        <v>15</v>
      </c>
      <c r="K306" s="181">
        <f t="shared" ref="K306:K331" si="69">F306*3+1</f>
        <v>2.2000000000000002</v>
      </c>
      <c r="L306" s="251">
        <f t="shared" si="65"/>
        <v>17.2</v>
      </c>
      <c r="M306" s="427">
        <v>0.56999999999999995</v>
      </c>
      <c r="N306" s="427">
        <f t="shared" si="59"/>
        <v>19.448399999999996</v>
      </c>
      <c r="O306" s="146">
        <f t="shared" si="66"/>
        <v>17.2</v>
      </c>
      <c r="P306" s="72">
        <f t="shared" si="67"/>
        <v>7.2</v>
      </c>
      <c r="Q306" s="144">
        <v>10</v>
      </c>
      <c r="R306" s="142">
        <f t="shared" si="62"/>
        <v>17.2</v>
      </c>
    </row>
    <row r="307" spans="1:18" s="72" customFormat="1" ht="21.95" customHeight="1">
      <c r="A307" s="208"/>
      <c r="B307" s="208"/>
      <c r="C307" s="208">
        <v>34</v>
      </c>
      <c r="D307" s="172" t="s">
        <v>304</v>
      </c>
      <c r="E307" s="208">
        <v>74</v>
      </c>
      <c r="F307" s="181">
        <v>0.3</v>
      </c>
      <c r="G307" s="252"/>
      <c r="H307" s="208">
        <v>100</v>
      </c>
      <c r="I307" s="171">
        <v>1</v>
      </c>
      <c r="J307" s="181">
        <f t="shared" ref="J307:J308" si="70">F307*15+10</f>
        <v>14.5</v>
      </c>
      <c r="K307" s="181">
        <f t="shared" si="69"/>
        <v>1.9</v>
      </c>
      <c r="L307" s="251">
        <f t="shared" si="65"/>
        <v>16.399999999999999</v>
      </c>
      <c r="M307" s="427">
        <v>0.76</v>
      </c>
      <c r="N307" s="427">
        <f t="shared" si="59"/>
        <v>25.931199999999997</v>
      </c>
      <c r="O307" s="146">
        <f t="shared" si="66"/>
        <v>16.399999999999999</v>
      </c>
      <c r="P307" s="72">
        <f t="shared" si="67"/>
        <v>5.3999999999999995</v>
      </c>
      <c r="Q307" s="144">
        <v>11</v>
      </c>
      <c r="R307" s="142">
        <f t="shared" si="62"/>
        <v>16.399999999999999</v>
      </c>
    </row>
    <row r="308" spans="1:18" s="72" customFormat="1" ht="21.95" customHeight="1">
      <c r="A308" s="208"/>
      <c r="B308" s="208"/>
      <c r="C308" s="208">
        <v>35</v>
      </c>
      <c r="D308" s="172" t="s">
        <v>317</v>
      </c>
      <c r="E308" s="208">
        <v>35</v>
      </c>
      <c r="F308" s="181">
        <v>0.5</v>
      </c>
      <c r="G308" s="252"/>
      <c r="H308" s="208">
        <v>100</v>
      </c>
      <c r="I308" s="171">
        <v>1</v>
      </c>
      <c r="J308" s="181">
        <f t="shared" si="70"/>
        <v>17.5</v>
      </c>
      <c r="K308" s="181">
        <f t="shared" si="69"/>
        <v>2.5</v>
      </c>
      <c r="L308" s="251">
        <f t="shared" si="65"/>
        <v>20</v>
      </c>
      <c r="M308" s="427">
        <v>0.76</v>
      </c>
      <c r="N308" s="427">
        <f t="shared" si="59"/>
        <v>25.931199999999997</v>
      </c>
      <c r="O308" s="146">
        <f t="shared" si="66"/>
        <v>20</v>
      </c>
      <c r="P308" s="72">
        <f t="shared" si="67"/>
        <v>9</v>
      </c>
      <c r="Q308" s="144">
        <v>11</v>
      </c>
      <c r="R308" s="142">
        <f t="shared" si="62"/>
        <v>20</v>
      </c>
    </row>
    <row r="309" spans="1:18" s="72" customFormat="1" ht="21.95" customHeight="1">
      <c r="A309" s="208"/>
      <c r="B309" s="208"/>
      <c r="C309" s="208">
        <v>36</v>
      </c>
      <c r="D309" s="172" t="s">
        <v>318</v>
      </c>
      <c r="E309" s="208">
        <v>39</v>
      </c>
      <c r="F309" s="181">
        <v>0.5</v>
      </c>
      <c r="G309" s="252"/>
      <c r="H309" s="208">
        <v>50</v>
      </c>
      <c r="I309" s="171">
        <v>1</v>
      </c>
      <c r="J309" s="181">
        <f>F309*15+9</f>
        <v>16.5</v>
      </c>
      <c r="K309" s="181">
        <f t="shared" si="69"/>
        <v>2.5</v>
      </c>
      <c r="L309" s="251">
        <f t="shared" si="65"/>
        <v>19</v>
      </c>
      <c r="M309" s="427">
        <v>0.56999999999999995</v>
      </c>
      <c r="N309" s="427">
        <f t="shared" si="59"/>
        <v>19.448399999999996</v>
      </c>
      <c r="O309" s="146">
        <f t="shared" si="66"/>
        <v>19</v>
      </c>
      <c r="P309" s="72">
        <f t="shared" si="67"/>
        <v>9</v>
      </c>
      <c r="Q309" s="144">
        <v>10</v>
      </c>
      <c r="R309" s="142">
        <f t="shared" si="62"/>
        <v>19</v>
      </c>
    </row>
    <row r="310" spans="1:18" s="72" customFormat="1" ht="21.95" customHeight="1">
      <c r="A310" s="253"/>
      <c r="B310" s="253"/>
      <c r="C310" s="253">
        <v>37</v>
      </c>
      <c r="D310" s="176" t="s">
        <v>319</v>
      </c>
      <c r="E310" s="253">
        <v>26</v>
      </c>
      <c r="F310" s="182">
        <v>1</v>
      </c>
      <c r="G310" s="253"/>
      <c r="H310" s="253">
        <v>50</v>
      </c>
      <c r="I310" s="175">
        <v>1</v>
      </c>
      <c r="J310" s="182">
        <f t="shared" ref="J310:J328" si="71">F310*15+9</f>
        <v>24</v>
      </c>
      <c r="K310" s="182">
        <f t="shared" si="69"/>
        <v>4</v>
      </c>
      <c r="L310" s="254">
        <f t="shared" si="65"/>
        <v>28</v>
      </c>
      <c r="M310" s="428">
        <v>0.56999999999999995</v>
      </c>
      <c r="N310" s="428">
        <f t="shared" si="59"/>
        <v>19.448399999999996</v>
      </c>
      <c r="O310" s="146">
        <f t="shared" si="66"/>
        <v>28</v>
      </c>
      <c r="P310" s="72">
        <f t="shared" si="67"/>
        <v>18</v>
      </c>
      <c r="Q310" s="144">
        <v>10</v>
      </c>
      <c r="R310" s="142">
        <f t="shared" si="62"/>
        <v>28</v>
      </c>
    </row>
    <row r="311" spans="1:18" s="5" customFormat="1" ht="18">
      <c r="A311" s="149"/>
      <c r="B311" s="149"/>
      <c r="C311" s="149"/>
      <c r="E311" s="149"/>
      <c r="F311" s="149"/>
      <c r="G311" s="149"/>
      <c r="H311" s="149"/>
      <c r="I311" s="150"/>
      <c r="J311" s="151"/>
      <c r="K311" s="151"/>
      <c r="L311" s="148"/>
      <c r="M311" s="429"/>
      <c r="N311" s="429"/>
      <c r="O311" s="148"/>
      <c r="Q311" s="3"/>
      <c r="R311" s="4"/>
    </row>
    <row r="312" spans="1:18" s="5" customFormat="1" ht="18">
      <c r="A312" s="149"/>
      <c r="B312" s="149"/>
      <c r="C312" s="149"/>
      <c r="E312" s="149"/>
      <c r="F312" s="149"/>
      <c r="G312" s="149"/>
      <c r="H312" s="149"/>
      <c r="I312" s="150"/>
      <c r="J312" s="151"/>
      <c r="K312" s="151"/>
      <c r="L312" s="148"/>
      <c r="M312" s="429"/>
      <c r="N312" s="429"/>
      <c r="O312" s="148"/>
      <c r="Q312" s="3"/>
      <c r="R312" s="4"/>
    </row>
    <row r="313" spans="1:18" s="5" customFormat="1" ht="18">
      <c r="A313" s="691" t="s">
        <v>284</v>
      </c>
      <c r="B313" s="691"/>
      <c r="C313" s="691"/>
      <c r="D313" s="691"/>
      <c r="E313" s="691"/>
      <c r="F313" s="691"/>
      <c r="G313" s="691"/>
      <c r="H313" s="691"/>
      <c r="I313" s="691"/>
      <c r="J313" s="691"/>
      <c r="K313" s="691"/>
      <c r="L313" s="691"/>
      <c r="M313" s="430"/>
      <c r="N313" s="430"/>
      <c r="O313" s="148">
        <f>K317+J317</f>
        <v>15.4</v>
      </c>
      <c r="P313" s="5">
        <f>18*F317</f>
        <v>5.3999999999999995</v>
      </c>
      <c r="Q313" s="3">
        <v>10</v>
      </c>
      <c r="R313" s="4">
        <f t="shared" si="62"/>
        <v>15.399999999999999</v>
      </c>
    </row>
    <row r="314" spans="1:18" s="5" customFormat="1" ht="27.75" customHeight="1">
      <c r="A314" s="654" t="s">
        <v>1</v>
      </c>
      <c r="B314" s="632" t="s">
        <v>755</v>
      </c>
      <c r="C314" s="646" t="s">
        <v>21</v>
      </c>
      <c r="D314" s="647"/>
      <c r="E314" s="652" t="s">
        <v>756</v>
      </c>
      <c r="F314" s="654" t="s">
        <v>3</v>
      </c>
      <c r="G314" s="654"/>
      <c r="H314" s="654"/>
      <c r="I314" s="654"/>
      <c r="J314" s="654" t="s">
        <v>761</v>
      </c>
      <c r="K314" s="654"/>
      <c r="L314" s="654"/>
      <c r="M314" s="644" t="s">
        <v>857</v>
      </c>
      <c r="N314" s="644"/>
    </row>
    <row r="315" spans="1:18" s="5" customFormat="1" ht="40.5" customHeight="1">
      <c r="A315" s="654"/>
      <c r="B315" s="633"/>
      <c r="C315" s="648"/>
      <c r="D315" s="649"/>
      <c r="E315" s="652"/>
      <c r="F315" s="652" t="s">
        <v>757</v>
      </c>
      <c r="G315" s="652" t="s">
        <v>5</v>
      </c>
      <c r="H315" s="652" t="s">
        <v>6</v>
      </c>
      <c r="I315" s="652"/>
      <c r="J315" s="652" t="s">
        <v>22</v>
      </c>
      <c r="K315" s="652" t="s">
        <v>762</v>
      </c>
      <c r="L315" s="654" t="s">
        <v>8</v>
      </c>
      <c r="M315" s="644"/>
      <c r="N315" s="644"/>
    </row>
    <row r="316" spans="1:18" s="5" customFormat="1" ht="58.5" customHeight="1">
      <c r="A316" s="632"/>
      <c r="B316" s="634"/>
      <c r="C316" s="650"/>
      <c r="D316" s="651"/>
      <c r="E316" s="653"/>
      <c r="F316" s="653"/>
      <c r="G316" s="653"/>
      <c r="H316" s="381" t="s">
        <v>9</v>
      </c>
      <c r="I316" s="381" t="s">
        <v>10</v>
      </c>
      <c r="J316" s="653"/>
      <c r="K316" s="632"/>
      <c r="L316" s="632"/>
      <c r="M316" s="382" t="s">
        <v>753</v>
      </c>
      <c r="N316" s="383" t="s">
        <v>754</v>
      </c>
    </row>
    <row r="317" spans="1:18" s="72" customFormat="1" ht="21.95" customHeight="1">
      <c r="A317" s="178"/>
      <c r="B317" s="261" t="s">
        <v>784</v>
      </c>
      <c r="C317" s="178">
        <v>38</v>
      </c>
      <c r="D317" s="170" t="s">
        <v>72</v>
      </c>
      <c r="E317" s="178">
        <v>32</v>
      </c>
      <c r="F317" s="180">
        <v>0.3</v>
      </c>
      <c r="G317" s="249"/>
      <c r="H317" s="178">
        <v>50</v>
      </c>
      <c r="I317" s="169">
        <v>1</v>
      </c>
      <c r="J317" s="180">
        <f t="shared" si="71"/>
        <v>13.5</v>
      </c>
      <c r="K317" s="180">
        <f t="shared" si="69"/>
        <v>1.9</v>
      </c>
      <c r="L317" s="250">
        <f t="shared" ref="L317:L322" si="72">R313</f>
        <v>15.399999999999999</v>
      </c>
      <c r="M317" s="426">
        <v>0.56999999999999995</v>
      </c>
      <c r="N317" s="426">
        <f t="shared" ref="N317:N331" si="73">M317*34.12</f>
        <v>19.448399999999996</v>
      </c>
      <c r="O317" s="146">
        <f>K321+J321</f>
        <v>16.84</v>
      </c>
      <c r="P317" s="72">
        <f>18*F321</f>
        <v>6.84</v>
      </c>
      <c r="Q317" s="144">
        <v>10</v>
      </c>
      <c r="R317" s="142">
        <f t="shared" si="62"/>
        <v>16.84</v>
      </c>
    </row>
    <row r="318" spans="1:18" s="72" customFormat="1" ht="21.95" customHeight="1">
      <c r="A318" s="208"/>
      <c r="B318" s="262" t="s">
        <v>785</v>
      </c>
      <c r="C318" s="208">
        <v>39</v>
      </c>
      <c r="D318" s="172" t="s">
        <v>320</v>
      </c>
      <c r="E318" s="208">
        <v>52</v>
      </c>
      <c r="F318" s="181">
        <v>0.7</v>
      </c>
      <c r="G318" s="252"/>
      <c r="H318" s="208">
        <v>50</v>
      </c>
      <c r="I318" s="171">
        <v>1</v>
      </c>
      <c r="J318" s="181">
        <f t="shared" si="71"/>
        <v>19.5</v>
      </c>
      <c r="K318" s="181">
        <f t="shared" si="69"/>
        <v>3.0999999999999996</v>
      </c>
      <c r="L318" s="251">
        <f t="shared" si="72"/>
        <v>0</v>
      </c>
      <c r="M318" s="427">
        <v>0.56999999999999995</v>
      </c>
      <c r="N318" s="427">
        <f t="shared" si="73"/>
        <v>19.448399999999996</v>
      </c>
      <c r="O318" s="146">
        <f>K322+J322</f>
        <v>28</v>
      </c>
      <c r="P318" s="72">
        <f>18*F322</f>
        <v>18</v>
      </c>
      <c r="Q318" s="144">
        <v>10</v>
      </c>
      <c r="R318" s="142">
        <f t="shared" si="62"/>
        <v>28</v>
      </c>
    </row>
    <row r="319" spans="1:18" ht="21.95" customHeight="1">
      <c r="A319" s="208"/>
      <c r="B319" s="208"/>
      <c r="C319" s="208">
        <v>40</v>
      </c>
      <c r="D319" s="172" t="s">
        <v>321</v>
      </c>
      <c r="E319" s="208">
        <v>56</v>
      </c>
      <c r="F319" s="181">
        <v>0.7</v>
      </c>
      <c r="G319" s="252"/>
      <c r="H319" s="208">
        <v>50</v>
      </c>
      <c r="I319" s="171">
        <v>1</v>
      </c>
      <c r="J319" s="181">
        <f t="shared" si="71"/>
        <v>19.5</v>
      </c>
      <c r="K319" s="181">
        <f t="shared" si="69"/>
        <v>3.0999999999999996</v>
      </c>
      <c r="L319" s="251">
        <f t="shared" si="72"/>
        <v>0</v>
      </c>
      <c r="M319" s="427">
        <v>0.56999999999999995</v>
      </c>
      <c r="N319" s="427">
        <f t="shared" si="73"/>
        <v>19.448399999999996</v>
      </c>
    </row>
    <row r="320" spans="1:18" ht="21.95" customHeight="1">
      <c r="A320" s="208"/>
      <c r="B320" s="208"/>
      <c r="C320" s="208">
        <v>41</v>
      </c>
      <c r="D320" s="172" t="s">
        <v>322</v>
      </c>
      <c r="E320" s="208">
        <v>46</v>
      </c>
      <c r="F320" s="181">
        <v>0.5</v>
      </c>
      <c r="G320" s="252"/>
      <c r="H320" s="208">
        <v>50</v>
      </c>
      <c r="I320" s="171">
        <v>1</v>
      </c>
      <c r="J320" s="181">
        <f t="shared" si="71"/>
        <v>16.5</v>
      </c>
      <c r="K320" s="181">
        <f t="shared" si="69"/>
        <v>2.5</v>
      </c>
      <c r="L320" s="251">
        <f t="shared" si="72"/>
        <v>0</v>
      </c>
      <c r="M320" s="427">
        <v>0.56999999999999995</v>
      </c>
      <c r="N320" s="427">
        <f t="shared" si="73"/>
        <v>19.448399999999996</v>
      </c>
    </row>
    <row r="321" spans="1:18" ht="21.95" customHeight="1">
      <c r="A321" s="208"/>
      <c r="B321" s="208"/>
      <c r="C321" s="208">
        <v>42</v>
      </c>
      <c r="D321" s="172" t="s">
        <v>323</v>
      </c>
      <c r="E321" s="208">
        <v>24</v>
      </c>
      <c r="F321" s="181">
        <v>0.38</v>
      </c>
      <c r="G321" s="207"/>
      <c r="H321" s="208">
        <v>50</v>
      </c>
      <c r="I321" s="171">
        <v>1</v>
      </c>
      <c r="J321" s="181">
        <f t="shared" si="71"/>
        <v>14.7</v>
      </c>
      <c r="K321" s="181">
        <f t="shared" si="69"/>
        <v>2.14</v>
      </c>
      <c r="L321" s="251">
        <f t="shared" si="72"/>
        <v>16.84</v>
      </c>
      <c r="M321" s="427">
        <v>0.56999999999999995</v>
      </c>
      <c r="N321" s="427">
        <f t="shared" si="73"/>
        <v>19.448399999999996</v>
      </c>
    </row>
    <row r="322" spans="1:18" ht="21.95" customHeight="1">
      <c r="A322" s="208"/>
      <c r="B322" s="208"/>
      <c r="C322" s="208">
        <v>43</v>
      </c>
      <c r="D322" s="172" t="s">
        <v>324</v>
      </c>
      <c r="E322" s="208">
        <v>20</v>
      </c>
      <c r="F322" s="181">
        <v>1</v>
      </c>
      <c r="G322" s="252"/>
      <c r="H322" s="208">
        <v>50</v>
      </c>
      <c r="I322" s="171">
        <v>1</v>
      </c>
      <c r="J322" s="181">
        <f t="shared" si="71"/>
        <v>24</v>
      </c>
      <c r="K322" s="181">
        <f t="shared" si="69"/>
        <v>4</v>
      </c>
      <c r="L322" s="251">
        <f t="shared" si="72"/>
        <v>28</v>
      </c>
      <c r="M322" s="427">
        <v>0.56999999999999995</v>
      </c>
      <c r="N322" s="427">
        <f t="shared" si="73"/>
        <v>19.448399999999996</v>
      </c>
    </row>
    <row r="323" spans="1:18" s="72" customFormat="1" ht="21.95" customHeight="1">
      <c r="A323" s="208"/>
      <c r="B323" s="208"/>
      <c r="C323" s="208">
        <v>44</v>
      </c>
      <c r="D323" s="172" t="s">
        <v>325</v>
      </c>
      <c r="E323" s="208">
        <v>49</v>
      </c>
      <c r="F323" s="181">
        <v>1.5</v>
      </c>
      <c r="G323" s="179"/>
      <c r="H323" s="208">
        <v>50</v>
      </c>
      <c r="I323" s="171">
        <v>1</v>
      </c>
      <c r="J323" s="181">
        <f t="shared" si="71"/>
        <v>31.5</v>
      </c>
      <c r="K323" s="181">
        <f t="shared" si="69"/>
        <v>5.5</v>
      </c>
      <c r="L323" s="251">
        <f>R338</f>
        <v>37</v>
      </c>
      <c r="M323" s="427">
        <v>0.56999999999999995</v>
      </c>
      <c r="N323" s="427">
        <f t="shared" si="73"/>
        <v>19.448399999999996</v>
      </c>
      <c r="O323" s="146">
        <f>K327+J327</f>
        <v>34.299999999999997</v>
      </c>
      <c r="P323" s="72">
        <f>18*F327</f>
        <v>24.3</v>
      </c>
      <c r="Q323" s="144">
        <v>10</v>
      </c>
      <c r="R323" s="142">
        <f t="shared" si="62"/>
        <v>34.299999999999997</v>
      </c>
    </row>
    <row r="324" spans="1:18" s="72" customFormat="1" ht="21.95" customHeight="1">
      <c r="A324" s="208"/>
      <c r="B324" s="208"/>
      <c r="C324" s="208">
        <v>45</v>
      </c>
      <c r="D324" s="172" t="s">
        <v>254</v>
      </c>
      <c r="E324" s="208">
        <v>46</v>
      </c>
      <c r="F324" s="181">
        <v>1.25</v>
      </c>
      <c r="G324" s="207"/>
      <c r="H324" s="208">
        <v>50</v>
      </c>
      <c r="I324" s="171">
        <v>1</v>
      </c>
      <c r="J324" s="181">
        <f t="shared" si="71"/>
        <v>27.75</v>
      </c>
      <c r="K324" s="181">
        <f t="shared" si="69"/>
        <v>4.75</v>
      </c>
      <c r="L324" s="251">
        <f>R339</f>
        <v>0</v>
      </c>
      <c r="M324" s="427">
        <v>0.56999999999999995</v>
      </c>
      <c r="N324" s="427">
        <f t="shared" si="73"/>
        <v>19.448399999999996</v>
      </c>
      <c r="O324" s="146">
        <f>K328+J328</f>
        <v>42.4</v>
      </c>
      <c r="P324" s="72">
        <f>18*F328</f>
        <v>32.4</v>
      </c>
      <c r="Q324" s="144">
        <v>10</v>
      </c>
      <c r="R324" s="142">
        <f t="shared" si="62"/>
        <v>42.4</v>
      </c>
    </row>
    <row r="325" spans="1:18" s="72" customFormat="1" ht="21.95" customHeight="1">
      <c r="A325" s="208"/>
      <c r="B325" s="208"/>
      <c r="C325" s="208">
        <v>46</v>
      </c>
      <c r="D325" s="172" t="s">
        <v>326</v>
      </c>
      <c r="E325" s="208">
        <v>57</v>
      </c>
      <c r="F325" s="181">
        <v>1.3</v>
      </c>
      <c r="G325" s="252"/>
      <c r="H325" s="208">
        <v>50</v>
      </c>
      <c r="I325" s="171">
        <v>1</v>
      </c>
      <c r="J325" s="181">
        <f t="shared" si="71"/>
        <v>28.5</v>
      </c>
      <c r="K325" s="181">
        <f t="shared" si="69"/>
        <v>4.9000000000000004</v>
      </c>
      <c r="L325" s="251">
        <f>R340</f>
        <v>0</v>
      </c>
      <c r="M325" s="427">
        <v>0.56999999999999995</v>
      </c>
      <c r="N325" s="427">
        <f t="shared" si="73"/>
        <v>19.448399999999996</v>
      </c>
      <c r="O325" s="146">
        <f>K329+J329</f>
        <v>33.5</v>
      </c>
      <c r="P325" s="72">
        <f>18*F329</f>
        <v>22.5</v>
      </c>
      <c r="Q325" s="144">
        <v>11</v>
      </c>
      <c r="R325" s="142">
        <f t="shared" si="62"/>
        <v>33.5</v>
      </c>
    </row>
    <row r="326" spans="1:18" s="72" customFormat="1" ht="21.95" customHeight="1">
      <c r="A326" s="208"/>
      <c r="B326" s="208"/>
      <c r="C326" s="208">
        <v>47</v>
      </c>
      <c r="D326" s="172" t="s">
        <v>327</v>
      </c>
      <c r="E326" s="208">
        <v>26</v>
      </c>
      <c r="F326" s="181">
        <v>1.7</v>
      </c>
      <c r="G326" s="252"/>
      <c r="H326" s="208">
        <v>50</v>
      </c>
      <c r="I326" s="171">
        <v>1</v>
      </c>
      <c r="J326" s="181">
        <f t="shared" si="71"/>
        <v>34.5</v>
      </c>
      <c r="K326" s="181">
        <f t="shared" si="69"/>
        <v>6.1</v>
      </c>
      <c r="L326" s="251">
        <f>R341</f>
        <v>0</v>
      </c>
      <c r="M326" s="427">
        <v>0.56999999999999995</v>
      </c>
      <c r="N326" s="427">
        <f t="shared" si="73"/>
        <v>19.448399999999996</v>
      </c>
      <c r="O326" s="146">
        <f>K330+J330</f>
        <v>43.4</v>
      </c>
      <c r="P326" s="72">
        <f>18*F330</f>
        <v>32.4</v>
      </c>
      <c r="Q326" s="144">
        <v>11</v>
      </c>
      <c r="R326" s="142">
        <f t="shared" si="62"/>
        <v>43.4</v>
      </c>
    </row>
    <row r="327" spans="1:18" s="72" customFormat="1" ht="21.95" customHeight="1">
      <c r="A327" s="208"/>
      <c r="B327" s="208"/>
      <c r="C327" s="208">
        <v>48</v>
      </c>
      <c r="D327" s="172" t="s">
        <v>193</v>
      </c>
      <c r="E327" s="208">
        <v>32</v>
      </c>
      <c r="F327" s="181">
        <v>1.35</v>
      </c>
      <c r="G327" s="207"/>
      <c r="H327" s="208">
        <v>50</v>
      </c>
      <c r="I327" s="171">
        <v>1</v>
      </c>
      <c r="J327" s="181">
        <f t="shared" si="71"/>
        <v>29.25</v>
      </c>
      <c r="K327" s="181">
        <f t="shared" si="69"/>
        <v>5.0500000000000007</v>
      </c>
      <c r="L327" s="251">
        <f>R323</f>
        <v>34.299999999999997</v>
      </c>
      <c r="M327" s="427">
        <v>0.56999999999999995</v>
      </c>
      <c r="N327" s="427">
        <f t="shared" si="73"/>
        <v>19.448399999999996</v>
      </c>
      <c r="O327" s="146">
        <f>K331+J331</f>
        <v>46</v>
      </c>
      <c r="P327" s="72">
        <f>18*F331</f>
        <v>36</v>
      </c>
      <c r="Q327" s="144">
        <v>10</v>
      </c>
      <c r="R327" s="142">
        <f t="shared" si="62"/>
        <v>46</v>
      </c>
    </row>
    <row r="328" spans="1:18" s="72" customFormat="1" ht="21.95" customHeight="1">
      <c r="A328" s="208"/>
      <c r="B328" s="208"/>
      <c r="C328" s="208">
        <v>49</v>
      </c>
      <c r="D328" s="172" t="s">
        <v>328</v>
      </c>
      <c r="E328" s="208">
        <v>39</v>
      </c>
      <c r="F328" s="181">
        <v>1.8</v>
      </c>
      <c r="G328" s="252"/>
      <c r="H328" s="208">
        <v>50</v>
      </c>
      <c r="I328" s="171">
        <v>1</v>
      </c>
      <c r="J328" s="181">
        <f t="shared" si="71"/>
        <v>36</v>
      </c>
      <c r="K328" s="181">
        <f t="shared" si="69"/>
        <v>6.4</v>
      </c>
      <c r="L328" s="251">
        <f>R324</f>
        <v>42.4</v>
      </c>
      <c r="M328" s="427">
        <v>0.56999999999999995</v>
      </c>
      <c r="N328" s="427">
        <f t="shared" si="73"/>
        <v>19.448399999999996</v>
      </c>
      <c r="O328" s="146">
        <f>K342+J342</f>
        <v>38</v>
      </c>
      <c r="P328" s="72">
        <f>18*F342</f>
        <v>27</v>
      </c>
      <c r="Q328" s="144">
        <v>11</v>
      </c>
      <c r="R328" s="142">
        <f t="shared" si="62"/>
        <v>38</v>
      </c>
    </row>
    <row r="329" spans="1:18" s="72" customFormat="1" ht="21.95" customHeight="1">
      <c r="A329" s="208"/>
      <c r="B329" s="208"/>
      <c r="C329" s="208">
        <v>50</v>
      </c>
      <c r="D329" s="172" t="s">
        <v>329</v>
      </c>
      <c r="E329" s="208">
        <v>96</v>
      </c>
      <c r="F329" s="181">
        <v>1.25</v>
      </c>
      <c r="G329" s="181"/>
      <c r="H329" s="208">
        <v>100</v>
      </c>
      <c r="I329" s="171">
        <v>1</v>
      </c>
      <c r="J329" s="181">
        <f t="shared" ref="J329:J330" si="74">F329*15+10</f>
        <v>28.75</v>
      </c>
      <c r="K329" s="181">
        <f t="shared" si="69"/>
        <v>4.75</v>
      </c>
      <c r="L329" s="251">
        <f>R325</f>
        <v>33.5</v>
      </c>
      <c r="M329" s="427">
        <v>0.76</v>
      </c>
      <c r="N329" s="427">
        <f t="shared" si="73"/>
        <v>25.931199999999997</v>
      </c>
      <c r="O329" s="146">
        <f>K343+J343</f>
        <v>23.5</v>
      </c>
      <c r="P329" s="72">
        <f>18*F343</f>
        <v>13.5</v>
      </c>
      <c r="Q329" s="144">
        <v>10</v>
      </c>
      <c r="R329" s="142">
        <f t="shared" si="62"/>
        <v>23.5</v>
      </c>
    </row>
    <row r="330" spans="1:18" s="72" customFormat="1" ht="21.95" customHeight="1">
      <c r="A330" s="208"/>
      <c r="B330" s="208"/>
      <c r="C330" s="208">
        <v>51</v>
      </c>
      <c r="D330" s="172" t="s">
        <v>330</v>
      </c>
      <c r="E330" s="208">
        <v>66</v>
      </c>
      <c r="F330" s="181">
        <v>1.8</v>
      </c>
      <c r="G330" s="252"/>
      <c r="H330" s="208">
        <v>100</v>
      </c>
      <c r="I330" s="171">
        <v>1</v>
      </c>
      <c r="J330" s="181">
        <f t="shared" si="74"/>
        <v>37</v>
      </c>
      <c r="K330" s="181">
        <f t="shared" si="69"/>
        <v>6.4</v>
      </c>
      <c r="L330" s="251">
        <f>R326</f>
        <v>43.4</v>
      </c>
      <c r="M330" s="427">
        <v>0.76</v>
      </c>
      <c r="N330" s="427">
        <f t="shared" si="73"/>
        <v>25.931199999999997</v>
      </c>
      <c r="O330" s="146">
        <f>K344+J344</f>
        <v>28</v>
      </c>
      <c r="P330" s="72">
        <f>18*F344</f>
        <v>18</v>
      </c>
      <c r="Q330" s="144">
        <v>10</v>
      </c>
      <c r="R330" s="142">
        <f t="shared" si="62"/>
        <v>28</v>
      </c>
    </row>
    <row r="331" spans="1:18" s="72" customFormat="1" ht="21.95" customHeight="1">
      <c r="A331" s="253"/>
      <c r="B331" s="253"/>
      <c r="C331" s="253">
        <v>52</v>
      </c>
      <c r="D331" s="176" t="s">
        <v>331</v>
      </c>
      <c r="E331" s="253">
        <v>28</v>
      </c>
      <c r="F331" s="182">
        <v>2</v>
      </c>
      <c r="G331" s="253"/>
      <c r="H331" s="253">
        <v>50</v>
      </c>
      <c r="I331" s="175">
        <v>1</v>
      </c>
      <c r="J331" s="182">
        <f t="shared" ref="J331" si="75">F331*15+9</f>
        <v>39</v>
      </c>
      <c r="K331" s="182">
        <f t="shared" si="69"/>
        <v>7</v>
      </c>
      <c r="L331" s="254">
        <f>R327</f>
        <v>46</v>
      </c>
      <c r="M331" s="428">
        <v>0.56999999999999995</v>
      </c>
      <c r="N331" s="428">
        <f t="shared" si="73"/>
        <v>19.448399999999996</v>
      </c>
      <c r="O331" s="146">
        <f>K345+J345</f>
        <v>38</v>
      </c>
      <c r="P331" s="72">
        <f>18*F345</f>
        <v>27</v>
      </c>
      <c r="Q331" s="144">
        <v>11</v>
      </c>
      <c r="R331" s="142">
        <f t="shared" si="62"/>
        <v>38</v>
      </c>
    </row>
    <row r="332" spans="1:18" s="5" customFormat="1" ht="18">
      <c r="A332" s="149"/>
      <c r="B332" s="149"/>
      <c r="C332" s="149"/>
      <c r="E332" s="149"/>
      <c r="F332" s="149"/>
      <c r="G332" s="149"/>
      <c r="H332" s="149"/>
      <c r="I332" s="150"/>
      <c r="J332" s="151"/>
      <c r="K332" s="151"/>
      <c r="L332" s="148"/>
      <c r="M332" s="430"/>
      <c r="N332" s="430"/>
      <c r="O332" s="148"/>
      <c r="Q332" s="3"/>
      <c r="R332" s="4"/>
    </row>
    <row r="333" spans="1:18" s="5" customFormat="1" ht="18">
      <c r="A333" s="149"/>
      <c r="B333" s="149"/>
      <c r="C333" s="149"/>
      <c r="E333" s="149"/>
      <c r="F333" s="149"/>
      <c r="G333" s="149"/>
      <c r="H333" s="149"/>
      <c r="I333" s="150"/>
      <c r="J333" s="151"/>
      <c r="K333" s="151"/>
      <c r="L333" s="148"/>
      <c r="M333" s="430"/>
      <c r="N333" s="430"/>
      <c r="O333" s="148"/>
      <c r="Q333" s="3"/>
      <c r="R333" s="4"/>
    </row>
    <row r="334" spans="1:18" s="5" customFormat="1" ht="18">
      <c r="A334" s="149"/>
      <c r="B334" s="149"/>
      <c r="C334" s="149"/>
      <c r="E334" s="149"/>
      <c r="F334" s="149"/>
      <c r="G334" s="149"/>
      <c r="H334" s="149"/>
      <c r="I334" s="150"/>
      <c r="J334" s="151"/>
      <c r="K334" s="151"/>
      <c r="L334" s="148"/>
      <c r="M334" s="430"/>
      <c r="N334" s="430"/>
      <c r="O334" s="148"/>
      <c r="Q334" s="3"/>
      <c r="R334" s="4"/>
    </row>
    <row r="335" spans="1:18" s="5" customFormat="1" ht="18">
      <c r="A335" s="149"/>
      <c r="B335" s="149"/>
      <c r="C335" s="149"/>
      <c r="E335" s="149"/>
      <c r="F335" s="149"/>
      <c r="G335" s="149"/>
      <c r="H335" s="149"/>
      <c r="I335" s="150"/>
      <c r="J335" s="151"/>
      <c r="K335" s="151"/>
      <c r="L335" s="148"/>
      <c r="M335" s="430"/>
      <c r="N335" s="430"/>
      <c r="O335" s="148"/>
      <c r="Q335" s="3"/>
      <c r="R335" s="4"/>
    </row>
    <row r="336" spans="1:18" s="5" customFormat="1" ht="18">
      <c r="A336" s="149"/>
      <c r="B336" s="149"/>
      <c r="C336" s="149"/>
      <c r="E336" s="149"/>
      <c r="F336" s="149"/>
      <c r="G336" s="149"/>
      <c r="H336" s="149"/>
      <c r="I336" s="150"/>
      <c r="J336" s="151"/>
      <c r="K336" s="151"/>
      <c r="L336" s="148"/>
      <c r="M336" s="430"/>
      <c r="N336" s="430"/>
      <c r="O336" s="148"/>
      <c r="Q336" s="3"/>
      <c r="R336" s="4"/>
    </row>
    <row r="337" spans="1:18" s="5" customFormat="1" ht="18">
      <c r="A337" s="149"/>
      <c r="B337" s="149"/>
      <c r="C337" s="149"/>
      <c r="E337" s="149"/>
      <c r="F337" s="149"/>
      <c r="G337" s="149"/>
      <c r="H337" s="149"/>
      <c r="I337" s="150"/>
      <c r="J337" s="151"/>
      <c r="K337" s="151"/>
      <c r="L337" s="148"/>
      <c r="M337" s="430"/>
      <c r="N337" s="430"/>
      <c r="O337" s="148"/>
      <c r="Q337" s="3"/>
      <c r="R337" s="4"/>
    </row>
    <row r="338" spans="1:18" s="5" customFormat="1" ht="18">
      <c r="A338" s="691" t="s">
        <v>284</v>
      </c>
      <c r="B338" s="691"/>
      <c r="C338" s="691"/>
      <c r="D338" s="691"/>
      <c r="E338" s="691"/>
      <c r="F338" s="691"/>
      <c r="G338" s="691"/>
      <c r="H338" s="691"/>
      <c r="I338" s="691"/>
      <c r="J338" s="691"/>
      <c r="K338" s="691"/>
      <c r="L338" s="691"/>
      <c r="M338" s="430"/>
      <c r="N338" s="430"/>
      <c r="O338" s="148">
        <f>K323+J323</f>
        <v>37</v>
      </c>
      <c r="P338" s="5">
        <f>18*F323</f>
        <v>27</v>
      </c>
      <c r="Q338" s="3">
        <v>10</v>
      </c>
      <c r="R338" s="4">
        <f>SUM(P338:Q338)</f>
        <v>37</v>
      </c>
    </row>
    <row r="339" spans="1:18" s="5" customFormat="1" ht="27.75" customHeight="1">
      <c r="A339" s="654" t="s">
        <v>1</v>
      </c>
      <c r="B339" s="632" t="s">
        <v>755</v>
      </c>
      <c r="C339" s="646" t="s">
        <v>21</v>
      </c>
      <c r="D339" s="647"/>
      <c r="E339" s="652" t="s">
        <v>756</v>
      </c>
      <c r="F339" s="654" t="s">
        <v>3</v>
      </c>
      <c r="G339" s="654"/>
      <c r="H339" s="654"/>
      <c r="I339" s="654"/>
      <c r="J339" s="654" t="s">
        <v>761</v>
      </c>
      <c r="K339" s="654"/>
      <c r="L339" s="654"/>
      <c r="M339" s="644" t="s">
        <v>857</v>
      </c>
      <c r="N339" s="644"/>
    </row>
    <row r="340" spans="1:18" s="5" customFormat="1" ht="40.5" customHeight="1">
      <c r="A340" s="654"/>
      <c r="B340" s="633"/>
      <c r="C340" s="648"/>
      <c r="D340" s="649"/>
      <c r="E340" s="652"/>
      <c r="F340" s="652" t="s">
        <v>757</v>
      </c>
      <c r="G340" s="652" t="s">
        <v>5</v>
      </c>
      <c r="H340" s="652" t="s">
        <v>6</v>
      </c>
      <c r="I340" s="652"/>
      <c r="J340" s="652" t="s">
        <v>22</v>
      </c>
      <c r="K340" s="652" t="s">
        <v>762</v>
      </c>
      <c r="L340" s="654" t="s">
        <v>8</v>
      </c>
      <c r="M340" s="644"/>
      <c r="N340" s="644"/>
    </row>
    <row r="341" spans="1:18" s="5" customFormat="1" ht="58.5" customHeight="1">
      <c r="A341" s="632"/>
      <c r="B341" s="634"/>
      <c r="C341" s="650"/>
      <c r="D341" s="651"/>
      <c r="E341" s="653"/>
      <c r="F341" s="653"/>
      <c r="G341" s="653"/>
      <c r="H341" s="381" t="s">
        <v>9</v>
      </c>
      <c r="I341" s="381" t="s">
        <v>10</v>
      </c>
      <c r="J341" s="653"/>
      <c r="K341" s="632"/>
      <c r="L341" s="632"/>
      <c r="M341" s="382" t="s">
        <v>753</v>
      </c>
      <c r="N341" s="383" t="s">
        <v>754</v>
      </c>
    </row>
    <row r="342" spans="1:18" s="72" customFormat="1" ht="21.95" customHeight="1">
      <c r="A342" s="178"/>
      <c r="B342" s="261" t="s">
        <v>784</v>
      </c>
      <c r="C342" s="178">
        <v>53</v>
      </c>
      <c r="D342" s="170" t="s">
        <v>332</v>
      </c>
      <c r="E342" s="178">
        <v>72</v>
      </c>
      <c r="F342" s="180">
        <v>1.5</v>
      </c>
      <c r="G342" s="249"/>
      <c r="H342" s="178">
        <v>100</v>
      </c>
      <c r="I342" s="169">
        <v>1</v>
      </c>
      <c r="J342" s="180">
        <f>F342*15+10</f>
        <v>32.5</v>
      </c>
      <c r="K342" s="180">
        <f>F342*3+1</f>
        <v>5.5</v>
      </c>
      <c r="L342" s="250">
        <f>R328</f>
        <v>38</v>
      </c>
      <c r="M342" s="426">
        <v>0.76</v>
      </c>
      <c r="N342" s="426">
        <f t="shared" ref="N342:N356" si="76">M342*34.12</f>
        <v>25.931199999999997</v>
      </c>
      <c r="O342" s="146">
        <f t="shared" ref="O342:O347" si="77">K346+J346</f>
        <v>19</v>
      </c>
      <c r="P342" s="72">
        <f t="shared" ref="P342:P347" si="78">18*F346</f>
        <v>9</v>
      </c>
      <c r="Q342" s="144">
        <v>10</v>
      </c>
      <c r="R342" s="142">
        <f t="shared" si="62"/>
        <v>19</v>
      </c>
    </row>
    <row r="343" spans="1:18" s="72" customFormat="1" ht="21.95" customHeight="1">
      <c r="A343" s="208"/>
      <c r="B343" s="262" t="s">
        <v>785</v>
      </c>
      <c r="C343" s="208">
        <v>54</v>
      </c>
      <c r="D343" s="172" t="s">
        <v>333</v>
      </c>
      <c r="E343" s="208">
        <v>33</v>
      </c>
      <c r="F343" s="181">
        <v>0.75</v>
      </c>
      <c r="G343" s="207"/>
      <c r="H343" s="208">
        <v>50</v>
      </c>
      <c r="I343" s="171">
        <v>1</v>
      </c>
      <c r="J343" s="181">
        <f t="shared" ref="J343:J344" si="79">F343*15+9</f>
        <v>20.25</v>
      </c>
      <c r="K343" s="181">
        <f t="shared" ref="K343:K344" si="80">F343*3+1</f>
        <v>3.25</v>
      </c>
      <c r="L343" s="251">
        <f>R329</f>
        <v>23.5</v>
      </c>
      <c r="M343" s="427">
        <v>0.56999999999999995</v>
      </c>
      <c r="N343" s="427">
        <f t="shared" si="76"/>
        <v>19.448399999999996</v>
      </c>
      <c r="O343" s="146">
        <f t="shared" si="77"/>
        <v>28</v>
      </c>
      <c r="P343" s="72">
        <f t="shared" si="78"/>
        <v>18</v>
      </c>
      <c r="Q343" s="144">
        <v>10</v>
      </c>
      <c r="R343" s="142">
        <f t="shared" si="62"/>
        <v>28</v>
      </c>
    </row>
    <row r="344" spans="1:18" s="72" customFormat="1" ht="21.95" customHeight="1">
      <c r="A344" s="208"/>
      <c r="B344" s="208"/>
      <c r="C344" s="208">
        <v>55</v>
      </c>
      <c r="D344" s="172" t="s">
        <v>334</v>
      </c>
      <c r="E344" s="208">
        <v>25</v>
      </c>
      <c r="F344" s="181">
        <v>1</v>
      </c>
      <c r="G344" s="208"/>
      <c r="H344" s="208">
        <v>50</v>
      </c>
      <c r="I344" s="171">
        <v>1</v>
      </c>
      <c r="J344" s="181">
        <f t="shared" si="79"/>
        <v>24</v>
      </c>
      <c r="K344" s="181">
        <f t="shared" si="80"/>
        <v>4</v>
      </c>
      <c r="L344" s="251">
        <f>R330</f>
        <v>28</v>
      </c>
      <c r="M344" s="427">
        <v>0.56999999999999995</v>
      </c>
      <c r="N344" s="427">
        <f t="shared" si="76"/>
        <v>19.448399999999996</v>
      </c>
      <c r="O344" s="146">
        <f t="shared" si="77"/>
        <v>22.6</v>
      </c>
      <c r="P344" s="72">
        <f t="shared" si="78"/>
        <v>12.6</v>
      </c>
      <c r="Q344" s="144">
        <v>10</v>
      </c>
      <c r="R344" s="142">
        <f t="shared" si="62"/>
        <v>22.6</v>
      </c>
    </row>
    <row r="345" spans="1:18" s="72" customFormat="1" ht="21.95" customHeight="1">
      <c r="A345" s="208"/>
      <c r="B345" s="208"/>
      <c r="C345" s="208">
        <v>56</v>
      </c>
      <c r="D345" s="172" t="s">
        <v>335</v>
      </c>
      <c r="E345" s="208">
        <v>84</v>
      </c>
      <c r="F345" s="181">
        <v>1.5</v>
      </c>
      <c r="G345" s="179"/>
      <c r="H345" s="208">
        <v>100</v>
      </c>
      <c r="I345" s="171">
        <v>1</v>
      </c>
      <c r="J345" s="181">
        <f>F345*15+10</f>
        <v>32.5</v>
      </c>
      <c r="K345" s="181">
        <f>F345*3+1</f>
        <v>5.5</v>
      </c>
      <c r="L345" s="251">
        <f>R331</f>
        <v>38</v>
      </c>
      <c r="M345" s="427">
        <v>0.76</v>
      </c>
      <c r="N345" s="427">
        <f t="shared" si="76"/>
        <v>25.931199999999997</v>
      </c>
      <c r="O345" s="146">
        <f t="shared" si="77"/>
        <v>32.6</v>
      </c>
      <c r="P345" s="72">
        <f t="shared" si="78"/>
        <v>21.599999999999998</v>
      </c>
      <c r="Q345" s="144">
        <v>11</v>
      </c>
      <c r="R345" s="142">
        <f t="shared" si="62"/>
        <v>32.599999999999994</v>
      </c>
    </row>
    <row r="346" spans="1:18" s="72" customFormat="1" ht="21.95" customHeight="1">
      <c r="A346" s="208"/>
      <c r="B346" s="208"/>
      <c r="C346" s="208">
        <v>57</v>
      </c>
      <c r="D346" s="172" t="s">
        <v>336</v>
      </c>
      <c r="E346" s="208">
        <v>39</v>
      </c>
      <c r="F346" s="181">
        <v>0.5</v>
      </c>
      <c r="G346" s="252"/>
      <c r="H346" s="208">
        <v>50</v>
      </c>
      <c r="I346" s="171">
        <v>1</v>
      </c>
      <c r="J346" s="181">
        <f t="shared" ref="J346:J348" si="81">F346*15+9</f>
        <v>16.5</v>
      </c>
      <c r="K346" s="181">
        <f t="shared" ref="K346:K348" si="82">F346*3+1</f>
        <v>2.5</v>
      </c>
      <c r="L346" s="251">
        <f t="shared" ref="L346:L351" si="83">R342</f>
        <v>19</v>
      </c>
      <c r="M346" s="427">
        <v>0.56999999999999995</v>
      </c>
      <c r="N346" s="427">
        <f t="shared" si="76"/>
        <v>19.448399999999996</v>
      </c>
      <c r="O346" s="146">
        <f t="shared" si="77"/>
        <v>46</v>
      </c>
      <c r="P346" s="72">
        <f t="shared" si="78"/>
        <v>36</v>
      </c>
      <c r="Q346" s="144">
        <v>10</v>
      </c>
      <c r="R346" s="142">
        <f t="shared" si="62"/>
        <v>46</v>
      </c>
    </row>
    <row r="347" spans="1:18" s="72" customFormat="1" ht="21.95" customHeight="1">
      <c r="A347" s="208"/>
      <c r="B347" s="208"/>
      <c r="C347" s="208">
        <v>58</v>
      </c>
      <c r="D347" s="172" t="s">
        <v>337</v>
      </c>
      <c r="E347" s="208">
        <v>16</v>
      </c>
      <c r="F347" s="181">
        <v>1</v>
      </c>
      <c r="G347" s="208"/>
      <c r="H347" s="208">
        <v>50</v>
      </c>
      <c r="I347" s="171">
        <v>1</v>
      </c>
      <c r="J347" s="181">
        <f t="shared" si="81"/>
        <v>24</v>
      </c>
      <c r="K347" s="181">
        <f t="shared" si="82"/>
        <v>4</v>
      </c>
      <c r="L347" s="251">
        <f t="shared" si="83"/>
        <v>28</v>
      </c>
      <c r="M347" s="427">
        <v>0.56999999999999995</v>
      </c>
      <c r="N347" s="427">
        <f t="shared" si="76"/>
        <v>19.448399999999996</v>
      </c>
      <c r="O347" s="146">
        <f t="shared" si="77"/>
        <v>31.6</v>
      </c>
      <c r="P347" s="72">
        <f t="shared" si="78"/>
        <v>21.599999999999998</v>
      </c>
      <c r="Q347" s="144">
        <v>10</v>
      </c>
      <c r="R347" s="142">
        <f t="shared" si="62"/>
        <v>31.599999999999998</v>
      </c>
    </row>
    <row r="348" spans="1:18" ht="21.95" customHeight="1">
      <c r="A348" s="208"/>
      <c r="B348" s="208"/>
      <c r="C348" s="208">
        <v>59</v>
      </c>
      <c r="D348" s="172" t="s">
        <v>338</v>
      </c>
      <c r="E348" s="208">
        <v>45</v>
      </c>
      <c r="F348" s="181">
        <v>0.7</v>
      </c>
      <c r="G348" s="252"/>
      <c r="H348" s="208">
        <v>50</v>
      </c>
      <c r="I348" s="171">
        <v>1</v>
      </c>
      <c r="J348" s="181">
        <f t="shared" si="81"/>
        <v>19.5</v>
      </c>
      <c r="K348" s="181">
        <f t="shared" si="82"/>
        <v>3.0999999999999996</v>
      </c>
      <c r="L348" s="251">
        <f t="shared" si="83"/>
        <v>22.6</v>
      </c>
      <c r="M348" s="427">
        <v>0.56999999999999995</v>
      </c>
      <c r="N348" s="427">
        <f t="shared" si="76"/>
        <v>19.448399999999996</v>
      </c>
    </row>
    <row r="349" spans="1:18" ht="21.95" customHeight="1">
      <c r="A349" s="208"/>
      <c r="B349" s="208"/>
      <c r="C349" s="208">
        <v>60</v>
      </c>
      <c r="D349" s="172" t="s">
        <v>339</v>
      </c>
      <c r="E349" s="208">
        <v>100</v>
      </c>
      <c r="F349" s="181">
        <v>1.2</v>
      </c>
      <c r="G349" s="252"/>
      <c r="H349" s="208">
        <v>100</v>
      </c>
      <c r="I349" s="171">
        <v>1</v>
      </c>
      <c r="J349" s="181">
        <f>F349*15+10</f>
        <v>28</v>
      </c>
      <c r="K349" s="181">
        <f>F349*3+1</f>
        <v>4.5999999999999996</v>
      </c>
      <c r="L349" s="251">
        <f t="shared" si="83"/>
        <v>32.599999999999994</v>
      </c>
      <c r="M349" s="427">
        <v>0.76</v>
      </c>
      <c r="N349" s="427">
        <f t="shared" si="76"/>
        <v>25.931199999999997</v>
      </c>
    </row>
    <row r="350" spans="1:18" ht="21.95" customHeight="1">
      <c r="A350" s="208"/>
      <c r="B350" s="208"/>
      <c r="C350" s="208">
        <v>61</v>
      </c>
      <c r="D350" s="172" t="s">
        <v>340</v>
      </c>
      <c r="E350" s="208">
        <v>43</v>
      </c>
      <c r="F350" s="181">
        <v>2</v>
      </c>
      <c r="G350" s="208"/>
      <c r="H350" s="208">
        <v>50</v>
      </c>
      <c r="I350" s="171">
        <v>1</v>
      </c>
      <c r="J350" s="181">
        <f t="shared" ref="J350:J355" si="84">F350*15+9</f>
        <v>39</v>
      </c>
      <c r="K350" s="181">
        <f t="shared" ref="K350:K355" si="85">F350*3+1</f>
        <v>7</v>
      </c>
      <c r="L350" s="251">
        <f t="shared" si="83"/>
        <v>46</v>
      </c>
      <c r="M350" s="427">
        <v>0.56999999999999995</v>
      </c>
      <c r="N350" s="427">
        <f t="shared" si="76"/>
        <v>19.448399999999996</v>
      </c>
    </row>
    <row r="351" spans="1:18" ht="21.95" customHeight="1">
      <c r="A351" s="208"/>
      <c r="B351" s="208"/>
      <c r="C351" s="208">
        <v>62</v>
      </c>
      <c r="D351" s="172" t="s">
        <v>341</v>
      </c>
      <c r="E351" s="208">
        <v>34</v>
      </c>
      <c r="F351" s="181">
        <v>1.2</v>
      </c>
      <c r="G351" s="179"/>
      <c r="H351" s="208">
        <v>50</v>
      </c>
      <c r="I351" s="171">
        <v>1</v>
      </c>
      <c r="J351" s="181">
        <f t="shared" si="84"/>
        <v>27</v>
      </c>
      <c r="K351" s="181">
        <f t="shared" si="85"/>
        <v>4.5999999999999996</v>
      </c>
      <c r="L351" s="251">
        <f t="shared" si="83"/>
        <v>31.599999999999998</v>
      </c>
      <c r="M351" s="427">
        <v>0.56999999999999995</v>
      </c>
      <c r="N351" s="427">
        <f t="shared" si="76"/>
        <v>19.448399999999996</v>
      </c>
    </row>
    <row r="352" spans="1:18" s="72" customFormat="1" ht="21.95" customHeight="1">
      <c r="A352" s="208"/>
      <c r="B352" s="208"/>
      <c r="C352" s="208">
        <v>63</v>
      </c>
      <c r="D352" s="172" t="s">
        <v>342</v>
      </c>
      <c r="E352" s="208">
        <v>21</v>
      </c>
      <c r="F352" s="181">
        <v>1.3</v>
      </c>
      <c r="G352" s="252"/>
      <c r="H352" s="208">
        <v>50</v>
      </c>
      <c r="I352" s="171">
        <v>1</v>
      </c>
      <c r="J352" s="181">
        <f t="shared" si="84"/>
        <v>28.5</v>
      </c>
      <c r="K352" s="181">
        <f t="shared" si="85"/>
        <v>4.9000000000000004</v>
      </c>
      <c r="L352" s="251">
        <f>F352*18+10</f>
        <v>33.400000000000006</v>
      </c>
      <c r="M352" s="427">
        <v>0.56999999999999995</v>
      </c>
      <c r="N352" s="427">
        <f t="shared" si="76"/>
        <v>19.448399999999996</v>
      </c>
      <c r="O352" s="146">
        <f>K352+J352</f>
        <v>33.4</v>
      </c>
      <c r="P352" s="72">
        <f>18*F356</f>
        <v>36</v>
      </c>
      <c r="Q352" s="144">
        <v>11</v>
      </c>
      <c r="R352" s="142">
        <f t="shared" si="62"/>
        <v>47</v>
      </c>
    </row>
    <row r="353" spans="1:18" s="72" customFormat="1" ht="21.95" customHeight="1">
      <c r="A353" s="208"/>
      <c r="B353" s="208"/>
      <c r="C353" s="208">
        <v>64</v>
      </c>
      <c r="D353" s="172" t="s">
        <v>343</v>
      </c>
      <c r="E353" s="208">
        <v>24</v>
      </c>
      <c r="F353" s="181">
        <v>1.27</v>
      </c>
      <c r="G353" s="181"/>
      <c r="H353" s="208">
        <v>50</v>
      </c>
      <c r="I353" s="171">
        <v>1</v>
      </c>
      <c r="J353" s="181">
        <f t="shared" si="84"/>
        <v>28.05</v>
      </c>
      <c r="K353" s="181">
        <f t="shared" si="85"/>
        <v>4.8100000000000005</v>
      </c>
      <c r="L353" s="251">
        <f t="shared" ref="L353:L355" si="86">F353*18+10</f>
        <v>32.86</v>
      </c>
      <c r="M353" s="427">
        <v>0.56999999999999995</v>
      </c>
      <c r="N353" s="427">
        <f t="shared" si="76"/>
        <v>19.448399999999996</v>
      </c>
      <c r="O353" s="146">
        <f>K353+J353</f>
        <v>32.86</v>
      </c>
      <c r="Q353" s="144"/>
      <c r="R353" s="142"/>
    </row>
    <row r="354" spans="1:18" ht="21.95" customHeight="1">
      <c r="A354" s="208"/>
      <c r="B354" s="208"/>
      <c r="C354" s="208">
        <v>65</v>
      </c>
      <c r="D354" s="172" t="s">
        <v>18</v>
      </c>
      <c r="E354" s="208">
        <v>27</v>
      </c>
      <c r="F354" s="181">
        <v>1.7</v>
      </c>
      <c r="G354" s="252"/>
      <c r="H354" s="208">
        <v>50</v>
      </c>
      <c r="I354" s="171">
        <v>1</v>
      </c>
      <c r="J354" s="181">
        <f t="shared" si="84"/>
        <v>34.5</v>
      </c>
      <c r="K354" s="181">
        <f t="shared" si="85"/>
        <v>6.1</v>
      </c>
      <c r="L354" s="251">
        <f t="shared" si="86"/>
        <v>40.599999999999994</v>
      </c>
      <c r="M354" s="427">
        <v>0.56999999999999995</v>
      </c>
      <c r="N354" s="427">
        <f t="shared" si="76"/>
        <v>19.448399999999996</v>
      </c>
      <c r="O354" s="146">
        <f>K354+J354</f>
        <v>40.6</v>
      </c>
    </row>
    <row r="355" spans="1:18" ht="21.95" customHeight="1">
      <c r="A355" s="208"/>
      <c r="B355" s="208"/>
      <c r="C355" s="208">
        <v>66</v>
      </c>
      <c r="D355" s="172" t="s">
        <v>344</v>
      </c>
      <c r="E355" s="208">
        <v>18</v>
      </c>
      <c r="F355" s="181">
        <v>1.85</v>
      </c>
      <c r="G355" s="207"/>
      <c r="H355" s="208">
        <v>50</v>
      </c>
      <c r="I355" s="171">
        <v>1</v>
      </c>
      <c r="J355" s="181">
        <f t="shared" si="84"/>
        <v>36.75</v>
      </c>
      <c r="K355" s="181">
        <f t="shared" si="85"/>
        <v>6.5500000000000007</v>
      </c>
      <c r="L355" s="251">
        <f t="shared" si="86"/>
        <v>43.300000000000004</v>
      </c>
      <c r="M355" s="427">
        <v>0.56999999999999995</v>
      </c>
      <c r="N355" s="427">
        <f t="shared" si="76"/>
        <v>19.448399999999996</v>
      </c>
      <c r="O355" s="146">
        <f>K355+J355</f>
        <v>43.3</v>
      </c>
    </row>
    <row r="356" spans="1:18" ht="21.95" customHeight="1">
      <c r="A356" s="253"/>
      <c r="B356" s="253"/>
      <c r="C356" s="253">
        <v>67</v>
      </c>
      <c r="D356" s="176" t="s">
        <v>345</v>
      </c>
      <c r="E356" s="253">
        <v>79</v>
      </c>
      <c r="F356" s="182">
        <v>2</v>
      </c>
      <c r="G356" s="253"/>
      <c r="H356" s="253">
        <v>100</v>
      </c>
      <c r="I356" s="175">
        <v>1</v>
      </c>
      <c r="J356" s="182">
        <f>F356*15+10</f>
        <v>40</v>
      </c>
      <c r="K356" s="182">
        <f>F356*3+1</f>
        <v>7</v>
      </c>
      <c r="L356" s="254">
        <f>R352</f>
        <v>47</v>
      </c>
      <c r="M356" s="428">
        <v>0.76</v>
      </c>
      <c r="N356" s="428">
        <f t="shared" si="76"/>
        <v>25.931199999999997</v>
      </c>
      <c r="O356" s="146">
        <f>K356+J356</f>
        <v>47</v>
      </c>
    </row>
    <row r="357" spans="1:18" ht="21.95" customHeight="1" thickBot="1">
      <c r="A357" s="186"/>
      <c r="B357" s="186" t="s">
        <v>759</v>
      </c>
      <c r="C357" s="186"/>
      <c r="D357" s="187" t="s">
        <v>854</v>
      </c>
      <c r="E357" s="264">
        <f>SUM(E267:E356)</f>
        <v>3844</v>
      </c>
      <c r="F357" s="265">
        <f>SUM(F267:F356)</f>
        <v>60.220000000000006</v>
      </c>
      <c r="G357" s="265"/>
      <c r="H357" s="264">
        <f t="shared" ref="H357:N357" si="87">SUM(H267:H356)</f>
        <v>4890</v>
      </c>
      <c r="I357" s="264">
        <f t="shared" si="87"/>
        <v>67</v>
      </c>
      <c r="J357" s="265">
        <f t="shared" si="87"/>
        <v>1536.3</v>
      </c>
      <c r="K357" s="265">
        <f t="shared" si="87"/>
        <v>247.66000000000003</v>
      </c>
      <c r="L357" s="265">
        <f t="shared" si="87"/>
        <v>1613.2599999999995</v>
      </c>
      <c r="M357" s="431">
        <f t="shared" si="87"/>
        <v>43.290000000000013</v>
      </c>
      <c r="N357" s="431">
        <f t="shared" si="87"/>
        <v>1477.0547999999997</v>
      </c>
    </row>
    <row r="358" spans="1:18" ht="17.25" thickTop="1">
      <c r="J358" s="229"/>
      <c r="K358" s="229"/>
      <c r="L358" s="229"/>
      <c r="M358" s="432"/>
      <c r="N358" s="432"/>
    </row>
    <row r="362" spans="1:18" s="5" customFormat="1" ht="18">
      <c r="A362" s="691" t="s">
        <v>346</v>
      </c>
      <c r="B362" s="691"/>
      <c r="C362" s="691"/>
      <c r="D362" s="691"/>
      <c r="E362" s="691"/>
      <c r="F362" s="691"/>
      <c r="G362" s="691"/>
      <c r="H362" s="691"/>
      <c r="I362" s="691"/>
      <c r="J362" s="691"/>
      <c r="K362" s="691"/>
      <c r="L362" s="691"/>
      <c r="M362" s="430"/>
      <c r="N362" s="430"/>
      <c r="O362" s="148"/>
      <c r="Q362" s="3"/>
      <c r="R362" s="4"/>
    </row>
    <row r="363" spans="1:18" s="5" customFormat="1" ht="27.75" customHeight="1">
      <c r="A363" s="654" t="s">
        <v>1</v>
      </c>
      <c r="B363" s="632" t="s">
        <v>755</v>
      </c>
      <c r="C363" s="646" t="s">
        <v>21</v>
      </c>
      <c r="D363" s="647"/>
      <c r="E363" s="652" t="s">
        <v>756</v>
      </c>
      <c r="F363" s="654" t="s">
        <v>3</v>
      </c>
      <c r="G363" s="654"/>
      <c r="H363" s="654"/>
      <c r="I363" s="654"/>
      <c r="J363" s="654" t="s">
        <v>761</v>
      </c>
      <c r="K363" s="654"/>
      <c r="L363" s="654"/>
      <c r="M363" s="644" t="s">
        <v>857</v>
      </c>
      <c r="N363" s="644"/>
    </row>
    <row r="364" spans="1:18" s="5" customFormat="1" ht="40.5" customHeight="1">
      <c r="A364" s="654"/>
      <c r="B364" s="633"/>
      <c r="C364" s="648"/>
      <c r="D364" s="649"/>
      <c r="E364" s="652"/>
      <c r="F364" s="652" t="s">
        <v>757</v>
      </c>
      <c r="G364" s="652" t="s">
        <v>5</v>
      </c>
      <c r="H364" s="652" t="s">
        <v>6</v>
      </c>
      <c r="I364" s="652"/>
      <c r="J364" s="652" t="s">
        <v>22</v>
      </c>
      <c r="K364" s="652" t="s">
        <v>762</v>
      </c>
      <c r="L364" s="654" t="s">
        <v>8</v>
      </c>
      <c r="M364" s="644"/>
      <c r="N364" s="644"/>
    </row>
    <row r="365" spans="1:18" s="5" customFormat="1" ht="58.5" customHeight="1">
      <c r="A365" s="632"/>
      <c r="B365" s="634"/>
      <c r="C365" s="650"/>
      <c r="D365" s="651"/>
      <c r="E365" s="653"/>
      <c r="F365" s="653"/>
      <c r="G365" s="653"/>
      <c r="H365" s="381" t="s">
        <v>9</v>
      </c>
      <c r="I365" s="381" t="s">
        <v>10</v>
      </c>
      <c r="J365" s="653"/>
      <c r="K365" s="632"/>
      <c r="L365" s="632"/>
      <c r="M365" s="382" t="s">
        <v>753</v>
      </c>
      <c r="N365" s="383" t="s">
        <v>754</v>
      </c>
    </row>
    <row r="366" spans="1:18" s="5" customFormat="1" ht="21.95" customHeight="1">
      <c r="A366" s="234">
        <v>5</v>
      </c>
      <c r="B366" s="261" t="s">
        <v>15</v>
      </c>
      <c r="C366" s="234">
        <v>1</v>
      </c>
      <c r="D366" s="231" t="s">
        <v>347</v>
      </c>
      <c r="E366" s="234">
        <v>255</v>
      </c>
      <c r="F366" s="235">
        <v>2</v>
      </c>
      <c r="G366" s="233"/>
      <c r="H366" s="268">
        <v>100</v>
      </c>
      <c r="I366" s="234">
        <v>3</v>
      </c>
      <c r="J366" s="232">
        <f>F366*15+30</f>
        <v>60</v>
      </c>
      <c r="K366" s="232">
        <f>F366*3+3</f>
        <v>9</v>
      </c>
      <c r="L366" s="235">
        <f>J366+K366</f>
        <v>69</v>
      </c>
      <c r="M366" s="433">
        <v>0.76</v>
      </c>
      <c r="N366" s="433">
        <f>M366*34.12</f>
        <v>25.931199999999997</v>
      </c>
      <c r="O366" s="148">
        <f>2*18+33</f>
        <v>69</v>
      </c>
      <c r="Q366" s="3"/>
      <c r="R366" s="4"/>
    </row>
    <row r="367" spans="1:18" s="5" customFormat="1" ht="21.95" customHeight="1">
      <c r="A367" s="240"/>
      <c r="B367" s="262" t="s">
        <v>855</v>
      </c>
      <c r="C367" s="240">
        <v>2</v>
      </c>
      <c r="D367" s="237" t="s">
        <v>348</v>
      </c>
      <c r="E367" s="240">
        <v>154</v>
      </c>
      <c r="F367" s="241">
        <v>1</v>
      </c>
      <c r="G367" s="239"/>
      <c r="H367" s="270">
        <v>50</v>
      </c>
      <c r="I367" s="240">
        <v>3</v>
      </c>
      <c r="J367" s="238">
        <f>F367*15+27</f>
        <v>42</v>
      </c>
      <c r="K367" s="238">
        <f>F367*3+3</f>
        <v>6</v>
      </c>
      <c r="L367" s="241">
        <f>J367+K367</f>
        <v>48</v>
      </c>
      <c r="M367" s="434">
        <v>0.56999999999999995</v>
      </c>
      <c r="N367" s="434">
        <f t="shared" ref="N367:N380" si="88">M367*34.12</f>
        <v>19.448399999999996</v>
      </c>
      <c r="O367" s="148">
        <f>1*18+30</f>
        <v>48</v>
      </c>
      <c r="Q367" s="3"/>
      <c r="R367" s="4"/>
    </row>
    <row r="368" spans="1:18" s="5" customFormat="1" ht="21.95" customHeight="1">
      <c r="A368" s="240"/>
      <c r="B368" s="240"/>
      <c r="C368" s="240">
        <v>3</v>
      </c>
      <c r="D368" s="237" t="s">
        <v>349</v>
      </c>
      <c r="E368" s="240">
        <v>160</v>
      </c>
      <c r="F368" s="241">
        <v>2</v>
      </c>
      <c r="G368" s="236"/>
      <c r="H368" s="270">
        <v>100</v>
      </c>
      <c r="I368" s="240">
        <v>2</v>
      </c>
      <c r="J368" s="238">
        <f>F368*15+20</f>
        <v>50</v>
      </c>
      <c r="K368" s="238">
        <f>F368*3+2</f>
        <v>8</v>
      </c>
      <c r="L368" s="241">
        <f>J368+K368</f>
        <v>58</v>
      </c>
      <c r="M368" s="434">
        <v>0.76</v>
      </c>
      <c r="N368" s="434">
        <f t="shared" si="88"/>
        <v>25.931199999999997</v>
      </c>
      <c r="O368" s="148">
        <f>2*18+22</f>
        <v>58</v>
      </c>
      <c r="Q368" s="3"/>
      <c r="R368" s="4"/>
    </row>
    <row r="369" spans="1:18" s="5" customFormat="1" ht="21.95" customHeight="1">
      <c r="A369" s="240"/>
      <c r="B369" s="240"/>
      <c r="C369" s="240">
        <v>4</v>
      </c>
      <c r="D369" s="237" t="s">
        <v>350</v>
      </c>
      <c r="E369" s="240">
        <v>230</v>
      </c>
      <c r="F369" s="241">
        <v>1.2</v>
      </c>
      <c r="G369" s="243"/>
      <c r="H369" s="270">
        <v>100</v>
      </c>
      <c r="I369" s="240">
        <v>2</v>
      </c>
      <c r="J369" s="238">
        <f>F369*15+20</f>
        <v>38</v>
      </c>
      <c r="K369" s="238">
        <f>F369*3+2</f>
        <v>5.6</v>
      </c>
      <c r="L369" s="241">
        <f>J369+K369</f>
        <v>43.6</v>
      </c>
      <c r="M369" s="434">
        <v>0.76</v>
      </c>
      <c r="N369" s="434">
        <f t="shared" si="88"/>
        <v>25.931199999999997</v>
      </c>
      <c r="O369" s="148"/>
      <c r="Q369" s="3"/>
      <c r="R369" s="4"/>
    </row>
    <row r="370" spans="1:18" s="5" customFormat="1" ht="21.95" customHeight="1">
      <c r="A370" s="240"/>
      <c r="B370" s="240"/>
      <c r="C370" s="240">
        <v>5</v>
      </c>
      <c r="D370" s="237" t="s">
        <v>351</v>
      </c>
      <c r="E370" s="240">
        <v>70</v>
      </c>
      <c r="F370" s="241">
        <v>1.4</v>
      </c>
      <c r="G370" s="242"/>
      <c r="H370" s="270">
        <v>50</v>
      </c>
      <c r="I370" s="240">
        <v>2</v>
      </c>
      <c r="J370" s="238">
        <f>F370*15+18</f>
        <v>39</v>
      </c>
      <c r="K370" s="238">
        <f>F370*3+2</f>
        <v>6.1999999999999993</v>
      </c>
      <c r="L370" s="241">
        <f>K370+J370</f>
        <v>45.2</v>
      </c>
      <c r="M370" s="434">
        <v>0.56999999999999995</v>
      </c>
      <c r="N370" s="434">
        <f t="shared" si="88"/>
        <v>19.448399999999996</v>
      </c>
      <c r="O370" s="148"/>
      <c r="Q370" s="3"/>
      <c r="R370" s="4"/>
    </row>
    <row r="371" spans="1:18" s="5" customFormat="1" ht="21.95" customHeight="1">
      <c r="A371" s="240"/>
      <c r="B371" s="240"/>
      <c r="C371" s="240">
        <v>6</v>
      </c>
      <c r="D371" s="237" t="s">
        <v>352</v>
      </c>
      <c r="E371" s="240">
        <v>270</v>
      </c>
      <c r="F371" s="241">
        <v>0.8</v>
      </c>
      <c r="G371" s="236"/>
      <c r="H371" s="270">
        <v>50</v>
      </c>
      <c r="I371" s="240">
        <v>4</v>
      </c>
      <c r="J371" s="238">
        <f>F371*15+36</f>
        <v>48</v>
      </c>
      <c r="K371" s="238">
        <f>F371*3+4</f>
        <v>6.4</v>
      </c>
      <c r="L371" s="241">
        <f t="shared" ref="L371:L419" si="89">K371+J371</f>
        <v>54.4</v>
      </c>
      <c r="M371" s="434">
        <v>0.56999999999999995</v>
      </c>
      <c r="N371" s="434">
        <f t="shared" si="88"/>
        <v>19.448399999999996</v>
      </c>
      <c r="O371" s="148"/>
      <c r="Q371" s="3"/>
      <c r="R371" s="4"/>
    </row>
    <row r="372" spans="1:18" ht="21.95" customHeight="1">
      <c r="A372" s="240"/>
      <c r="B372" s="240"/>
      <c r="C372" s="240">
        <v>7</v>
      </c>
      <c r="D372" s="237" t="s">
        <v>353</v>
      </c>
      <c r="E372" s="240">
        <v>136</v>
      </c>
      <c r="F372" s="241">
        <v>1</v>
      </c>
      <c r="G372" s="242"/>
      <c r="H372" s="270">
        <v>50</v>
      </c>
      <c r="I372" s="240">
        <v>2</v>
      </c>
      <c r="J372" s="238">
        <f>F372*15+18</f>
        <v>33</v>
      </c>
      <c r="K372" s="238">
        <f>F372*3+2</f>
        <v>5</v>
      </c>
      <c r="L372" s="241">
        <f t="shared" si="89"/>
        <v>38</v>
      </c>
      <c r="M372" s="434">
        <v>0.56999999999999995</v>
      </c>
      <c r="N372" s="434">
        <f t="shared" si="88"/>
        <v>19.448399999999996</v>
      </c>
    </row>
    <row r="373" spans="1:18" ht="21.95" customHeight="1">
      <c r="A373" s="240"/>
      <c r="B373" s="240"/>
      <c r="C373" s="240">
        <v>8</v>
      </c>
      <c r="D373" s="237" t="s">
        <v>354</v>
      </c>
      <c r="E373" s="240">
        <v>90</v>
      </c>
      <c r="F373" s="241">
        <v>0.6</v>
      </c>
      <c r="G373" s="242"/>
      <c r="H373" s="270">
        <v>50</v>
      </c>
      <c r="I373" s="240">
        <v>2</v>
      </c>
      <c r="J373" s="238">
        <f>F373*15+18</f>
        <v>27</v>
      </c>
      <c r="K373" s="238">
        <f>F373*3+2</f>
        <v>3.8</v>
      </c>
      <c r="L373" s="241">
        <f t="shared" si="89"/>
        <v>30.8</v>
      </c>
      <c r="M373" s="434">
        <v>0.56999999999999995</v>
      </c>
      <c r="N373" s="434">
        <f t="shared" si="88"/>
        <v>19.448399999999996</v>
      </c>
    </row>
    <row r="374" spans="1:18" ht="21.95" customHeight="1">
      <c r="A374" s="240"/>
      <c r="B374" s="240"/>
      <c r="C374" s="240">
        <v>9</v>
      </c>
      <c r="D374" s="237" t="s">
        <v>355</v>
      </c>
      <c r="E374" s="240">
        <v>30</v>
      </c>
      <c r="F374" s="241">
        <v>0.5</v>
      </c>
      <c r="G374" s="236"/>
      <c r="H374" s="270">
        <v>50</v>
      </c>
      <c r="I374" s="240">
        <v>1</v>
      </c>
      <c r="J374" s="238">
        <f>F374*15+9</f>
        <v>16.5</v>
      </c>
      <c r="K374" s="238">
        <f>F374*3+1</f>
        <v>2.5</v>
      </c>
      <c r="L374" s="241">
        <f t="shared" si="89"/>
        <v>19</v>
      </c>
      <c r="M374" s="434">
        <v>0.56999999999999995</v>
      </c>
      <c r="N374" s="434">
        <f t="shared" si="88"/>
        <v>19.448399999999996</v>
      </c>
    </row>
    <row r="375" spans="1:18" ht="21.95" customHeight="1">
      <c r="A375" s="240"/>
      <c r="B375" s="240"/>
      <c r="C375" s="240">
        <v>10</v>
      </c>
      <c r="D375" s="237" t="s">
        <v>356</v>
      </c>
      <c r="E375" s="240">
        <v>70</v>
      </c>
      <c r="F375" s="241">
        <v>0.5</v>
      </c>
      <c r="G375" s="243"/>
      <c r="H375" s="270">
        <v>50</v>
      </c>
      <c r="I375" s="240">
        <v>2</v>
      </c>
      <c r="J375" s="238">
        <f>F375*15+18</f>
        <v>25.5</v>
      </c>
      <c r="K375" s="238">
        <f>F375*3+2</f>
        <v>3.5</v>
      </c>
      <c r="L375" s="241">
        <f t="shared" si="89"/>
        <v>29</v>
      </c>
      <c r="M375" s="434">
        <v>0.56999999999999995</v>
      </c>
      <c r="N375" s="434">
        <f t="shared" si="88"/>
        <v>19.448399999999996</v>
      </c>
    </row>
    <row r="376" spans="1:18" s="5" customFormat="1" ht="21.95" customHeight="1">
      <c r="A376" s="240"/>
      <c r="B376" s="240"/>
      <c r="C376" s="240">
        <v>11</v>
      </c>
      <c r="D376" s="237" t="s">
        <v>357</v>
      </c>
      <c r="E376" s="240">
        <v>63</v>
      </c>
      <c r="F376" s="241">
        <v>0.4</v>
      </c>
      <c r="G376" s="242"/>
      <c r="H376" s="270">
        <v>50</v>
      </c>
      <c r="I376" s="240">
        <v>1</v>
      </c>
      <c r="J376" s="238">
        <f>F376*15+9</f>
        <v>15</v>
      </c>
      <c r="K376" s="238">
        <f>F376*3+1</f>
        <v>2.2000000000000002</v>
      </c>
      <c r="L376" s="241">
        <f t="shared" si="89"/>
        <v>17.2</v>
      </c>
      <c r="M376" s="434">
        <v>0.56999999999999995</v>
      </c>
      <c r="N376" s="434">
        <f t="shared" si="88"/>
        <v>19.448399999999996</v>
      </c>
      <c r="O376" s="148"/>
      <c r="Q376" s="3"/>
      <c r="R376" s="4"/>
    </row>
    <row r="377" spans="1:18" s="5" customFormat="1" ht="21.95" customHeight="1">
      <c r="A377" s="240"/>
      <c r="B377" s="240"/>
      <c r="C377" s="240">
        <v>12</v>
      </c>
      <c r="D377" s="237" t="s">
        <v>358</v>
      </c>
      <c r="E377" s="240">
        <v>148</v>
      </c>
      <c r="F377" s="241">
        <v>0.2</v>
      </c>
      <c r="G377" s="238"/>
      <c r="H377" s="270">
        <v>50</v>
      </c>
      <c r="I377" s="240">
        <v>3</v>
      </c>
      <c r="J377" s="238">
        <f>F377*15+27</f>
        <v>30</v>
      </c>
      <c r="K377" s="238">
        <f>F377*3+3</f>
        <v>3.6</v>
      </c>
      <c r="L377" s="241">
        <f t="shared" si="89"/>
        <v>33.6</v>
      </c>
      <c r="M377" s="434">
        <v>0.56999999999999995</v>
      </c>
      <c r="N377" s="434">
        <f t="shared" si="88"/>
        <v>19.448399999999996</v>
      </c>
      <c r="O377" s="148"/>
      <c r="Q377" s="3"/>
      <c r="R377" s="4"/>
    </row>
    <row r="378" spans="1:18" ht="21.95" customHeight="1">
      <c r="A378" s="240"/>
      <c r="B378" s="240"/>
      <c r="C378" s="240">
        <v>13</v>
      </c>
      <c r="D378" s="237" t="s">
        <v>359</v>
      </c>
      <c r="E378" s="240">
        <v>112</v>
      </c>
      <c r="F378" s="241">
        <v>0.3</v>
      </c>
      <c r="G378" s="242"/>
      <c r="H378" s="270">
        <v>50</v>
      </c>
      <c r="I378" s="240">
        <v>2</v>
      </c>
      <c r="J378" s="238">
        <f>F378*15+18</f>
        <v>22.5</v>
      </c>
      <c r="K378" s="238">
        <f>F378*3+2</f>
        <v>2.9</v>
      </c>
      <c r="L378" s="241">
        <f t="shared" si="89"/>
        <v>25.4</v>
      </c>
      <c r="M378" s="434">
        <v>0.56999999999999995</v>
      </c>
      <c r="N378" s="434">
        <f t="shared" si="88"/>
        <v>19.448399999999996</v>
      </c>
      <c r="O378" s="148"/>
    </row>
    <row r="379" spans="1:18" ht="21.95" customHeight="1">
      <c r="A379" s="240"/>
      <c r="B379" s="240"/>
      <c r="C379" s="240">
        <v>14</v>
      </c>
      <c r="D379" s="237" t="s">
        <v>360</v>
      </c>
      <c r="E379" s="240">
        <v>166</v>
      </c>
      <c r="F379" s="241">
        <v>0.3</v>
      </c>
      <c r="G379" s="239"/>
      <c r="H379" s="270">
        <v>50</v>
      </c>
      <c r="I379" s="240">
        <v>3</v>
      </c>
      <c r="J379" s="238">
        <f>F379*15+27</f>
        <v>31.5</v>
      </c>
      <c r="K379" s="238">
        <f>F379*3+3</f>
        <v>3.9</v>
      </c>
      <c r="L379" s="241">
        <f t="shared" si="89"/>
        <v>35.4</v>
      </c>
      <c r="M379" s="434">
        <v>0.56999999999999995</v>
      </c>
      <c r="N379" s="434">
        <f t="shared" si="88"/>
        <v>19.448399999999996</v>
      </c>
      <c r="O379" s="148"/>
    </row>
    <row r="380" spans="1:18" ht="21.95" customHeight="1">
      <c r="A380" s="247"/>
      <c r="B380" s="247"/>
      <c r="C380" s="247">
        <v>15</v>
      </c>
      <c r="D380" s="245" t="s">
        <v>361</v>
      </c>
      <c r="E380" s="247">
        <v>58</v>
      </c>
      <c r="F380" s="248">
        <v>0.8</v>
      </c>
      <c r="G380" s="244"/>
      <c r="H380" s="272">
        <v>50</v>
      </c>
      <c r="I380" s="247">
        <v>1</v>
      </c>
      <c r="J380" s="246">
        <f>F380*15+9</f>
        <v>21</v>
      </c>
      <c r="K380" s="246">
        <f>F380*3+1</f>
        <v>3.4000000000000004</v>
      </c>
      <c r="L380" s="248">
        <f t="shared" si="89"/>
        <v>24.4</v>
      </c>
      <c r="M380" s="435">
        <v>0.56999999999999995</v>
      </c>
      <c r="N380" s="435">
        <f t="shared" si="88"/>
        <v>19.448399999999996</v>
      </c>
      <c r="O380" s="148"/>
    </row>
    <row r="381" spans="1:18" s="228" customFormat="1" ht="18">
      <c r="A381" s="150"/>
      <c r="B381" s="150"/>
      <c r="C381" s="150"/>
      <c r="D381" s="5"/>
      <c r="E381" s="150"/>
      <c r="F381" s="150"/>
      <c r="G381" s="149"/>
      <c r="H381" s="266"/>
      <c r="I381" s="150"/>
      <c r="J381" s="151"/>
      <c r="K381" s="151"/>
      <c r="L381" s="148"/>
      <c r="M381" s="378"/>
      <c r="N381" s="378"/>
      <c r="O381" s="148"/>
    </row>
    <row r="382" spans="1:18" s="228" customFormat="1" ht="18">
      <c r="A382" s="150"/>
      <c r="B382" s="150"/>
      <c r="C382" s="150"/>
      <c r="D382" s="5"/>
      <c r="E382" s="150"/>
      <c r="F382" s="150"/>
      <c r="G382" s="149"/>
      <c r="H382" s="266"/>
      <c r="I382" s="150"/>
      <c r="J382" s="151"/>
      <c r="K382" s="151"/>
      <c r="L382" s="148"/>
      <c r="M382" s="378"/>
      <c r="N382" s="378"/>
      <c r="O382" s="148"/>
    </row>
    <row r="383" spans="1:18" s="228" customFormat="1" ht="18">
      <c r="A383" s="150"/>
      <c r="B383" s="150"/>
      <c r="C383" s="150"/>
      <c r="D383" s="5"/>
      <c r="E383" s="150"/>
      <c r="F383" s="150"/>
      <c r="G383" s="149"/>
      <c r="H383" s="266"/>
      <c r="I383" s="150"/>
      <c r="J383" s="151"/>
      <c r="K383" s="151"/>
      <c r="L383" s="148"/>
      <c r="M383" s="378"/>
      <c r="N383" s="378"/>
      <c r="O383" s="148"/>
    </row>
    <row r="384" spans="1:18" s="228" customFormat="1" ht="18">
      <c r="A384" s="150"/>
      <c r="B384" s="150"/>
      <c r="C384" s="150"/>
      <c r="D384" s="5"/>
      <c r="E384" s="150"/>
      <c r="F384" s="150"/>
      <c r="G384" s="149"/>
      <c r="H384" s="266"/>
      <c r="I384" s="150"/>
      <c r="J384" s="151"/>
      <c r="K384" s="151"/>
      <c r="L384" s="148"/>
      <c r="M384" s="378"/>
      <c r="N384" s="378"/>
      <c r="O384" s="148"/>
    </row>
    <row r="385" spans="1:18" s="228" customFormat="1" ht="18">
      <c r="A385" s="150"/>
      <c r="B385" s="150"/>
      <c r="C385" s="150"/>
      <c r="D385" s="5"/>
      <c r="E385" s="150"/>
      <c r="F385" s="150"/>
      <c r="G385" s="149"/>
      <c r="H385" s="266"/>
      <c r="I385" s="150"/>
      <c r="J385" s="151"/>
      <c r="K385" s="151"/>
      <c r="L385" s="148"/>
      <c r="M385" s="378"/>
      <c r="N385" s="378"/>
      <c r="O385" s="148"/>
    </row>
    <row r="386" spans="1:18" s="228" customFormat="1" ht="18">
      <c r="A386" s="150"/>
      <c r="B386" s="150"/>
      <c r="C386" s="150"/>
      <c r="D386" s="5"/>
      <c r="E386" s="150"/>
      <c r="F386" s="150"/>
      <c r="G386" s="149"/>
      <c r="H386" s="266"/>
      <c r="I386" s="150"/>
      <c r="J386" s="151"/>
      <c r="K386" s="151"/>
      <c r="L386" s="148"/>
      <c r="M386" s="378"/>
      <c r="N386" s="378"/>
      <c r="O386" s="148"/>
    </row>
    <row r="387" spans="1:18" s="228" customFormat="1" ht="18">
      <c r="A387" s="150"/>
      <c r="B387" s="150"/>
      <c r="C387" s="150"/>
      <c r="D387" s="5"/>
      <c r="E387" s="150"/>
      <c r="F387" s="150"/>
      <c r="G387" s="149"/>
      <c r="H387" s="266"/>
      <c r="I387" s="150"/>
      <c r="J387" s="151"/>
      <c r="K387" s="151"/>
      <c r="L387" s="148"/>
      <c r="M387" s="378"/>
      <c r="N387" s="378"/>
      <c r="O387" s="148"/>
    </row>
    <row r="388" spans="1:18" s="5" customFormat="1" ht="18">
      <c r="A388" s="691" t="s">
        <v>346</v>
      </c>
      <c r="B388" s="691"/>
      <c r="C388" s="691"/>
      <c r="D388" s="691"/>
      <c r="E388" s="691"/>
      <c r="F388" s="691"/>
      <c r="G388" s="691"/>
      <c r="H388" s="691"/>
      <c r="I388" s="691"/>
      <c r="J388" s="691"/>
      <c r="K388" s="691"/>
      <c r="L388" s="691"/>
      <c r="M388" s="430"/>
      <c r="N388" s="430"/>
      <c r="O388" s="148"/>
      <c r="Q388" s="3"/>
      <c r="R388" s="4"/>
    </row>
    <row r="389" spans="1:18" s="5" customFormat="1" ht="27.75" customHeight="1">
      <c r="A389" s="654" t="s">
        <v>1</v>
      </c>
      <c r="B389" s="632" t="s">
        <v>755</v>
      </c>
      <c r="C389" s="646" t="s">
        <v>21</v>
      </c>
      <c r="D389" s="647"/>
      <c r="E389" s="652" t="s">
        <v>756</v>
      </c>
      <c r="F389" s="654" t="s">
        <v>3</v>
      </c>
      <c r="G389" s="654"/>
      <c r="H389" s="654"/>
      <c r="I389" s="654"/>
      <c r="J389" s="654" t="s">
        <v>761</v>
      </c>
      <c r="K389" s="654"/>
      <c r="L389" s="654"/>
      <c r="M389" s="644" t="s">
        <v>857</v>
      </c>
      <c r="N389" s="644"/>
    </row>
    <row r="390" spans="1:18" s="5" customFormat="1" ht="40.5" customHeight="1">
      <c r="A390" s="654"/>
      <c r="B390" s="633"/>
      <c r="C390" s="648"/>
      <c r="D390" s="649"/>
      <c r="E390" s="652"/>
      <c r="F390" s="652" t="s">
        <v>757</v>
      </c>
      <c r="G390" s="652" t="s">
        <v>5</v>
      </c>
      <c r="H390" s="652" t="s">
        <v>6</v>
      </c>
      <c r="I390" s="652"/>
      <c r="J390" s="652" t="s">
        <v>22</v>
      </c>
      <c r="K390" s="652" t="s">
        <v>762</v>
      </c>
      <c r="L390" s="654" t="s">
        <v>8</v>
      </c>
      <c r="M390" s="644"/>
      <c r="N390" s="644"/>
    </row>
    <row r="391" spans="1:18" s="5" customFormat="1" ht="58.5" customHeight="1">
      <c r="A391" s="632"/>
      <c r="B391" s="634"/>
      <c r="C391" s="650"/>
      <c r="D391" s="651"/>
      <c r="E391" s="653"/>
      <c r="F391" s="653"/>
      <c r="G391" s="653"/>
      <c r="H391" s="381" t="s">
        <v>9</v>
      </c>
      <c r="I391" s="381" t="s">
        <v>10</v>
      </c>
      <c r="J391" s="653"/>
      <c r="K391" s="632"/>
      <c r="L391" s="632"/>
      <c r="M391" s="382" t="s">
        <v>753</v>
      </c>
      <c r="N391" s="383" t="s">
        <v>754</v>
      </c>
    </row>
    <row r="392" spans="1:18" ht="21.95" customHeight="1">
      <c r="A392" s="234">
        <v>5</v>
      </c>
      <c r="B392" s="261" t="s">
        <v>15</v>
      </c>
      <c r="C392" s="234">
        <v>16</v>
      </c>
      <c r="D392" s="231" t="s">
        <v>362</v>
      </c>
      <c r="E392" s="234">
        <v>78</v>
      </c>
      <c r="F392" s="235">
        <v>0.9</v>
      </c>
      <c r="G392" s="232"/>
      <c r="H392" s="268">
        <v>50</v>
      </c>
      <c r="I392" s="230">
        <v>2</v>
      </c>
      <c r="J392" s="232">
        <f>F392*15+18</f>
        <v>31.5</v>
      </c>
      <c r="K392" s="232">
        <f>F392*3+2</f>
        <v>4.7</v>
      </c>
      <c r="L392" s="235">
        <f t="shared" si="89"/>
        <v>36.200000000000003</v>
      </c>
      <c r="M392" s="436">
        <v>0.56999999999999995</v>
      </c>
      <c r="N392" s="433">
        <f>M392*34.12</f>
        <v>19.448399999999996</v>
      </c>
    </row>
    <row r="393" spans="1:18" ht="21.95" customHeight="1">
      <c r="A393" s="240"/>
      <c r="B393" s="262" t="s">
        <v>855</v>
      </c>
      <c r="C393" s="240">
        <v>17</v>
      </c>
      <c r="D393" s="237" t="s">
        <v>363</v>
      </c>
      <c r="E393" s="240">
        <v>44</v>
      </c>
      <c r="F393" s="241">
        <v>0.5</v>
      </c>
      <c r="G393" s="24"/>
      <c r="H393" s="270">
        <v>50</v>
      </c>
      <c r="I393" s="271">
        <v>1</v>
      </c>
      <c r="J393" s="238">
        <f>F393*15+9</f>
        <v>16.5</v>
      </c>
      <c r="K393" s="238">
        <f t="shared" ref="K393:K394" si="90">F393*3+1</f>
        <v>2.5</v>
      </c>
      <c r="L393" s="241">
        <f t="shared" si="89"/>
        <v>19</v>
      </c>
      <c r="M393" s="437">
        <v>0.56999999999999995</v>
      </c>
      <c r="N393" s="434">
        <f t="shared" ref="N393:N406" si="91">M393*34.12</f>
        <v>19.448399999999996</v>
      </c>
    </row>
    <row r="394" spans="1:18" ht="21.95" customHeight="1">
      <c r="A394" s="240"/>
      <c r="B394" s="240"/>
      <c r="C394" s="240">
        <v>18</v>
      </c>
      <c r="D394" s="237" t="s">
        <v>364</v>
      </c>
      <c r="E394" s="240">
        <v>46</v>
      </c>
      <c r="F394" s="241">
        <v>1.2</v>
      </c>
      <c r="G394" s="24"/>
      <c r="H394" s="270">
        <v>50</v>
      </c>
      <c r="I394" s="271">
        <v>1</v>
      </c>
      <c r="J394" s="238">
        <f>F394*15+9</f>
        <v>27</v>
      </c>
      <c r="K394" s="238">
        <f t="shared" si="90"/>
        <v>4.5999999999999996</v>
      </c>
      <c r="L394" s="241">
        <f t="shared" si="89"/>
        <v>31.6</v>
      </c>
      <c r="M394" s="437">
        <v>0.56999999999999995</v>
      </c>
      <c r="N394" s="434">
        <f t="shared" si="91"/>
        <v>19.448399999999996</v>
      </c>
    </row>
    <row r="395" spans="1:18" ht="21.95" customHeight="1">
      <c r="A395" s="240"/>
      <c r="B395" s="240"/>
      <c r="C395" s="240">
        <v>19</v>
      </c>
      <c r="D395" s="237" t="s">
        <v>365</v>
      </c>
      <c r="E395" s="240">
        <v>111</v>
      </c>
      <c r="F395" s="241">
        <v>1.5</v>
      </c>
      <c r="G395" s="24"/>
      <c r="H395" s="270">
        <v>50</v>
      </c>
      <c r="I395" s="271">
        <v>2</v>
      </c>
      <c r="J395" s="238">
        <f>F395*15+18</f>
        <v>40.5</v>
      </c>
      <c r="K395" s="238">
        <f>F395*3+2</f>
        <v>6.5</v>
      </c>
      <c r="L395" s="241">
        <f t="shared" si="89"/>
        <v>47</v>
      </c>
      <c r="M395" s="437">
        <v>0.56999999999999995</v>
      </c>
      <c r="N395" s="434">
        <f t="shared" si="91"/>
        <v>19.448399999999996</v>
      </c>
    </row>
    <row r="396" spans="1:18" ht="21.95" customHeight="1">
      <c r="A396" s="240"/>
      <c r="B396" s="240"/>
      <c r="C396" s="240">
        <v>20</v>
      </c>
      <c r="D396" s="237" t="s">
        <v>366</v>
      </c>
      <c r="E396" s="240">
        <v>54</v>
      </c>
      <c r="F396" s="241">
        <v>1.3</v>
      </c>
      <c r="G396" s="24"/>
      <c r="H396" s="270">
        <v>50</v>
      </c>
      <c r="I396" s="271">
        <v>1</v>
      </c>
      <c r="J396" s="238">
        <f t="shared" ref="J396:J401" si="92">F396*15+9</f>
        <v>28.5</v>
      </c>
      <c r="K396" s="238">
        <f t="shared" ref="K396:K401" si="93">F396*3+1</f>
        <v>4.9000000000000004</v>
      </c>
      <c r="L396" s="241">
        <f t="shared" si="89"/>
        <v>33.4</v>
      </c>
      <c r="M396" s="437">
        <v>0.56999999999999995</v>
      </c>
      <c r="N396" s="434">
        <f t="shared" si="91"/>
        <v>19.448399999999996</v>
      </c>
    </row>
    <row r="397" spans="1:18" ht="21.95" customHeight="1">
      <c r="A397" s="240"/>
      <c r="B397" s="240"/>
      <c r="C397" s="240">
        <v>21</v>
      </c>
      <c r="D397" s="237" t="s">
        <v>367</v>
      </c>
      <c r="E397" s="240">
        <v>29</v>
      </c>
      <c r="F397" s="241">
        <v>1</v>
      </c>
      <c r="G397" s="24"/>
      <c r="H397" s="270">
        <v>50</v>
      </c>
      <c r="I397" s="271">
        <v>1</v>
      </c>
      <c r="J397" s="238">
        <f t="shared" si="92"/>
        <v>24</v>
      </c>
      <c r="K397" s="238">
        <f t="shared" si="93"/>
        <v>4</v>
      </c>
      <c r="L397" s="241">
        <f t="shared" si="89"/>
        <v>28</v>
      </c>
      <c r="M397" s="437">
        <v>0.56999999999999995</v>
      </c>
      <c r="N397" s="434">
        <f t="shared" si="91"/>
        <v>19.448399999999996</v>
      </c>
    </row>
    <row r="398" spans="1:18" ht="21.95" customHeight="1">
      <c r="A398" s="240"/>
      <c r="B398" s="240"/>
      <c r="C398" s="240">
        <v>22</v>
      </c>
      <c r="D398" s="237" t="s">
        <v>368</v>
      </c>
      <c r="E398" s="240">
        <v>32</v>
      </c>
      <c r="F398" s="241">
        <v>1.2</v>
      </c>
      <c r="G398" s="24"/>
      <c r="H398" s="270">
        <v>50</v>
      </c>
      <c r="I398" s="271">
        <v>1</v>
      </c>
      <c r="J398" s="238">
        <f t="shared" si="92"/>
        <v>27</v>
      </c>
      <c r="K398" s="238">
        <f t="shared" si="93"/>
        <v>4.5999999999999996</v>
      </c>
      <c r="L398" s="241">
        <f t="shared" si="89"/>
        <v>31.6</v>
      </c>
      <c r="M398" s="437">
        <v>0.56999999999999995</v>
      </c>
      <c r="N398" s="434">
        <f t="shared" si="91"/>
        <v>19.448399999999996</v>
      </c>
    </row>
    <row r="399" spans="1:18" ht="21.95" customHeight="1">
      <c r="A399" s="240"/>
      <c r="B399" s="240"/>
      <c r="C399" s="240">
        <v>23</v>
      </c>
      <c r="D399" s="237" t="s">
        <v>369</v>
      </c>
      <c r="E399" s="240">
        <v>14</v>
      </c>
      <c r="F399" s="241">
        <v>0.8</v>
      </c>
      <c r="G399" s="24"/>
      <c r="H399" s="270">
        <v>50</v>
      </c>
      <c r="I399" s="271">
        <v>1</v>
      </c>
      <c r="J399" s="238">
        <f t="shared" si="92"/>
        <v>21</v>
      </c>
      <c r="K399" s="238">
        <f t="shared" si="93"/>
        <v>3.4000000000000004</v>
      </c>
      <c r="L399" s="241">
        <f t="shared" si="89"/>
        <v>24.4</v>
      </c>
      <c r="M399" s="437">
        <v>0.56999999999999995</v>
      </c>
      <c r="N399" s="434">
        <f t="shared" si="91"/>
        <v>19.448399999999996</v>
      </c>
    </row>
    <row r="400" spans="1:18" ht="21.95" customHeight="1">
      <c r="A400" s="240"/>
      <c r="B400" s="240"/>
      <c r="C400" s="240">
        <v>24</v>
      </c>
      <c r="D400" s="237" t="s">
        <v>370</v>
      </c>
      <c r="E400" s="240">
        <v>17</v>
      </c>
      <c r="F400" s="241">
        <v>1</v>
      </c>
      <c r="G400" s="24"/>
      <c r="H400" s="270">
        <v>50</v>
      </c>
      <c r="I400" s="271">
        <v>1</v>
      </c>
      <c r="J400" s="238">
        <f t="shared" si="92"/>
        <v>24</v>
      </c>
      <c r="K400" s="238">
        <f t="shared" si="93"/>
        <v>4</v>
      </c>
      <c r="L400" s="241">
        <f t="shared" si="89"/>
        <v>28</v>
      </c>
      <c r="M400" s="437">
        <v>0.56999999999999995</v>
      </c>
      <c r="N400" s="434">
        <f t="shared" si="91"/>
        <v>19.448399999999996</v>
      </c>
    </row>
    <row r="401" spans="1:18" ht="21.95" customHeight="1">
      <c r="A401" s="240"/>
      <c r="B401" s="240"/>
      <c r="C401" s="240">
        <v>25</v>
      </c>
      <c r="D401" s="237" t="s">
        <v>371</v>
      </c>
      <c r="E401" s="240">
        <v>50</v>
      </c>
      <c r="F401" s="241">
        <v>1</v>
      </c>
      <c r="G401" s="24"/>
      <c r="H401" s="270">
        <v>50</v>
      </c>
      <c r="I401" s="271">
        <v>1</v>
      </c>
      <c r="J401" s="238">
        <f t="shared" si="92"/>
        <v>24</v>
      </c>
      <c r="K401" s="238">
        <f t="shared" si="93"/>
        <v>4</v>
      </c>
      <c r="L401" s="241">
        <f t="shared" si="89"/>
        <v>28</v>
      </c>
      <c r="M401" s="437">
        <v>0.56999999999999995</v>
      </c>
      <c r="N401" s="434">
        <f t="shared" si="91"/>
        <v>19.448399999999996</v>
      </c>
    </row>
    <row r="402" spans="1:18" ht="21.95" customHeight="1">
      <c r="A402" s="240"/>
      <c r="B402" s="240"/>
      <c r="C402" s="240">
        <v>26</v>
      </c>
      <c r="D402" s="237" t="s">
        <v>372</v>
      </c>
      <c r="E402" s="240">
        <v>130</v>
      </c>
      <c r="F402" s="241">
        <v>0.2</v>
      </c>
      <c r="G402" s="24"/>
      <c r="H402" s="270">
        <v>50</v>
      </c>
      <c r="I402" s="271">
        <v>2</v>
      </c>
      <c r="J402" s="238">
        <f>F402*15+18</f>
        <v>21</v>
      </c>
      <c r="K402" s="238">
        <f t="shared" ref="K402:K405" si="94">F402*3+2</f>
        <v>2.6</v>
      </c>
      <c r="L402" s="241">
        <f t="shared" si="89"/>
        <v>23.6</v>
      </c>
      <c r="M402" s="437">
        <v>0.56999999999999995</v>
      </c>
      <c r="N402" s="434">
        <f t="shared" si="91"/>
        <v>19.448399999999996</v>
      </c>
    </row>
    <row r="403" spans="1:18" ht="21.95" customHeight="1">
      <c r="A403" s="240"/>
      <c r="B403" s="240"/>
      <c r="C403" s="240">
        <v>27</v>
      </c>
      <c r="D403" s="237" t="s">
        <v>373</v>
      </c>
      <c r="E403" s="240">
        <v>80</v>
      </c>
      <c r="F403" s="241">
        <v>0.7</v>
      </c>
      <c r="G403" s="24"/>
      <c r="H403" s="270">
        <v>50</v>
      </c>
      <c r="I403" s="271">
        <v>2</v>
      </c>
      <c r="J403" s="238">
        <f>F403*15+18</f>
        <v>28.5</v>
      </c>
      <c r="K403" s="238">
        <f t="shared" si="94"/>
        <v>4.0999999999999996</v>
      </c>
      <c r="L403" s="241">
        <f t="shared" si="89"/>
        <v>32.6</v>
      </c>
      <c r="M403" s="437">
        <v>0.56999999999999995</v>
      </c>
      <c r="N403" s="434">
        <f t="shared" si="91"/>
        <v>19.448399999999996</v>
      </c>
    </row>
    <row r="404" spans="1:18" ht="21.95" customHeight="1">
      <c r="A404" s="240"/>
      <c r="B404" s="240"/>
      <c r="C404" s="240">
        <v>28</v>
      </c>
      <c r="D404" s="237" t="s">
        <v>374</v>
      </c>
      <c r="E404" s="240">
        <v>60</v>
      </c>
      <c r="F404" s="241">
        <v>0.5</v>
      </c>
      <c r="G404" s="24"/>
      <c r="H404" s="270">
        <v>50</v>
      </c>
      <c r="I404" s="271">
        <v>2</v>
      </c>
      <c r="J404" s="238">
        <f>F404*15+18</f>
        <v>25.5</v>
      </c>
      <c r="K404" s="238">
        <f t="shared" si="94"/>
        <v>3.5</v>
      </c>
      <c r="L404" s="241">
        <f t="shared" si="89"/>
        <v>29</v>
      </c>
      <c r="M404" s="437">
        <v>0.56999999999999995</v>
      </c>
      <c r="N404" s="434">
        <f t="shared" si="91"/>
        <v>19.448399999999996</v>
      </c>
    </row>
    <row r="405" spans="1:18" ht="21.95" customHeight="1">
      <c r="A405" s="240"/>
      <c r="B405" s="240"/>
      <c r="C405" s="240">
        <v>29</v>
      </c>
      <c r="D405" s="237" t="s">
        <v>375</v>
      </c>
      <c r="E405" s="240">
        <v>100</v>
      </c>
      <c r="F405" s="241">
        <v>0.5</v>
      </c>
      <c r="G405" s="24"/>
      <c r="H405" s="270">
        <v>50</v>
      </c>
      <c r="I405" s="271">
        <v>2</v>
      </c>
      <c r="J405" s="238">
        <f>F405*15+18</f>
        <v>25.5</v>
      </c>
      <c r="K405" s="238">
        <f t="shared" si="94"/>
        <v>3.5</v>
      </c>
      <c r="L405" s="241">
        <f t="shared" si="89"/>
        <v>29</v>
      </c>
      <c r="M405" s="437">
        <v>0.56999999999999995</v>
      </c>
      <c r="N405" s="434">
        <f>M405*34.12</f>
        <v>19.448399999999996</v>
      </c>
    </row>
    <row r="406" spans="1:18" ht="21.95" customHeight="1">
      <c r="A406" s="247"/>
      <c r="B406" s="247"/>
      <c r="C406" s="247">
        <v>30</v>
      </c>
      <c r="D406" s="245" t="s">
        <v>376</v>
      </c>
      <c r="E406" s="247">
        <v>60</v>
      </c>
      <c r="F406" s="248">
        <v>0.9</v>
      </c>
      <c r="G406" s="31"/>
      <c r="H406" s="272">
        <v>50</v>
      </c>
      <c r="I406" s="273">
        <v>1</v>
      </c>
      <c r="J406" s="246">
        <f>F406*15+9</f>
        <v>22.5</v>
      </c>
      <c r="K406" s="246">
        <f t="shared" ref="K406:K418" si="95">F406*3+1</f>
        <v>3.7</v>
      </c>
      <c r="L406" s="248">
        <f t="shared" si="89"/>
        <v>26.2</v>
      </c>
      <c r="M406" s="438">
        <v>0.56999999999999995</v>
      </c>
      <c r="N406" s="435">
        <f t="shared" si="91"/>
        <v>19.448399999999996</v>
      </c>
    </row>
    <row r="407" spans="1:18" ht="18">
      <c r="A407" s="150"/>
      <c r="B407" s="150"/>
      <c r="C407" s="150"/>
      <c r="D407" s="5"/>
      <c r="E407" s="150"/>
      <c r="F407" s="267"/>
      <c r="G407" s="2"/>
      <c r="H407" s="266"/>
      <c r="I407" s="51"/>
      <c r="J407" s="151"/>
      <c r="K407" s="151"/>
      <c r="L407" s="148"/>
    </row>
    <row r="408" spans="1:18" s="228" customFormat="1" ht="18">
      <c r="A408" s="150"/>
      <c r="B408" s="150"/>
      <c r="C408" s="150"/>
      <c r="D408" s="5"/>
      <c r="E408" s="150"/>
      <c r="F408" s="267"/>
      <c r="G408" s="2"/>
      <c r="H408" s="266"/>
      <c r="I408" s="51"/>
      <c r="J408" s="151"/>
      <c r="K408" s="151"/>
      <c r="L408" s="148"/>
      <c r="M408" s="378"/>
      <c r="N408" s="378"/>
    </row>
    <row r="409" spans="1:18" s="228" customFormat="1" ht="18">
      <c r="A409" s="150"/>
      <c r="B409" s="150"/>
      <c r="C409" s="150"/>
      <c r="D409" s="5"/>
      <c r="E409" s="150"/>
      <c r="F409" s="267"/>
      <c r="G409" s="2"/>
      <c r="H409" s="266"/>
      <c r="I409" s="51"/>
      <c r="J409" s="151"/>
      <c r="K409" s="151"/>
      <c r="L409" s="148"/>
      <c r="M409" s="378"/>
      <c r="N409" s="378"/>
    </row>
    <row r="410" spans="1:18" s="228" customFormat="1" ht="18">
      <c r="A410" s="150"/>
      <c r="B410" s="150"/>
      <c r="C410" s="150"/>
      <c r="D410" s="5"/>
      <c r="E410" s="150"/>
      <c r="F410" s="267"/>
      <c r="G410" s="2"/>
      <c r="H410" s="266"/>
      <c r="I410" s="51"/>
      <c r="J410" s="151"/>
      <c r="K410" s="151"/>
      <c r="L410" s="148"/>
      <c r="M410" s="378"/>
      <c r="N410" s="378"/>
    </row>
    <row r="411" spans="1:18" s="228" customFormat="1" ht="18">
      <c r="A411" s="150"/>
      <c r="B411" s="150"/>
      <c r="C411" s="150"/>
      <c r="D411" s="5"/>
      <c r="E411" s="150"/>
      <c r="F411" s="267"/>
      <c r="G411" s="2"/>
      <c r="H411" s="266"/>
      <c r="I411" s="51"/>
      <c r="J411" s="151"/>
      <c r="K411" s="151"/>
      <c r="L411" s="148"/>
      <c r="M411" s="378"/>
      <c r="N411" s="378"/>
    </row>
    <row r="412" spans="1:18" s="228" customFormat="1" ht="18">
      <c r="A412" s="150"/>
      <c r="B412" s="150"/>
      <c r="C412" s="150"/>
      <c r="D412" s="5"/>
      <c r="E412" s="150"/>
      <c r="F412" s="267"/>
      <c r="G412" s="2"/>
      <c r="H412" s="266"/>
      <c r="I412" s="51"/>
      <c r="J412" s="151"/>
      <c r="K412" s="151"/>
      <c r="L412" s="148"/>
      <c r="M412" s="378"/>
      <c r="N412" s="378"/>
    </row>
    <row r="413" spans="1:18" s="5" customFormat="1" ht="18">
      <c r="A413" s="691" t="s">
        <v>346</v>
      </c>
      <c r="B413" s="691"/>
      <c r="C413" s="691"/>
      <c r="D413" s="691"/>
      <c r="E413" s="691"/>
      <c r="F413" s="691"/>
      <c r="G413" s="691"/>
      <c r="H413" s="691"/>
      <c r="I413" s="691"/>
      <c r="J413" s="691"/>
      <c r="K413" s="691"/>
      <c r="L413" s="691"/>
      <c r="M413" s="430"/>
      <c r="N413" s="430"/>
      <c r="O413" s="148"/>
      <c r="Q413" s="3"/>
      <c r="R413" s="4"/>
    </row>
    <row r="414" spans="1:18" s="5" customFormat="1" ht="27.75" customHeight="1">
      <c r="A414" s="654" t="s">
        <v>1</v>
      </c>
      <c r="B414" s="632" t="s">
        <v>755</v>
      </c>
      <c r="C414" s="646" t="s">
        <v>21</v>
      </c>
      <c r="D414" s="647"/>
      <c r="E414" s="652" t="s">
        <v>756</v>
      </c>
      <c r="F414" s="654" t="s">
        <v>3</v>
      </c>
      <c r="G414" s="654"/>
      <c r="H414" s="654"/>
      <c r="I414" s="654"/>
      <c r="J414" s="654" t="s">
        <v>761</v>
      </c>
      <c r="K414" s="654"/>
      <c r="L414" s="654"/>
      <c r="M414" s="644" t="s">
        <v>857</v>
      </c>
      <c r="N414" s="644"/>
    </row>
    <row r="415" spans="1:18" s="5" customFormat="1" ht="40.5" customHeight="1">
      <c r="A415" s="654"/>
      <c r="B415" s="633"/>
      <c r="C415" s="648"/>
      <c r="D415" s="649"/>
      <c r="E415" s="652"/>
      <c r="F415" s="652" t="s">
        <v>757</v>
      </c>
      <c r="G415" s="652" t="s">
        <v>5</v>
      </c>
      <c r="H415" s="652" t="s">
        <v>6</v>
      </c>
      <c r="I415" s="652"/>
      <c r="J415" s="652" t="s">
        <v>22</v>
      </c>
      <c r="K415" s="652" t="s">
        <v>762</v>
      </c>
      <c r="L415" s="654" t="s">
        <v>8</v>
      </c>
      <c r="M415" s="644"/>
      <c r="N415" s="644"/>
    </row>
    <row r="416" spans="1:18" s="5" customFormat="1" ht="58.5" customHeight="1">
      <c r="A416" s="632"/>
      <c r="B416" s="634"/>
      <c r="C416" s="650"/>
      <c r="D416" s="651"/>
      <c r="E416" s="653"/>
      <c r="F416" s="653"/>
      <c r="G416" s="653"/>
      <c r="H416" s="381" t="s">
        <v>9</v>
      </c>
      <c r="I416" s="381" t="s">
        <v>10</v>
      </c>
      <c r="J416" s="653"/>
      <c r="K416" s="632"/>
      <c r="L416" s="632"/>
      <c r="M416" s="382" t="s">
        <v>753</v>
      </c>
      <c r="N416" s="383" t="s">
        <v>754</v>
      </c>
    </row>
    <row r="417" spans="1:14" ht="21.95" customHeight="1">
      <c r="A417" s="234">
        <v>5</v>
      </c>
      <c r="B417" s="261" t="s">
        <v>15</v>
      </c>
      <c r="C417" s="234">
        <v>31</v>
      </c>
      <c r="D417" s="231" t="s">
        <v>366</v>
      </c>
      <c r="E417" s="234">
        <v>54</v>
      </c>
      <c r="F417" s="235">
        <v>1.3</v>
      </c>
      <c r="G417" s="18"/>
      <c r="H417" s="268">
        <v>50</v>
      </c>
      <c r="I417" s="269">
        <v>1</v>
      </c>
      <c r="J417" s="232">
        <f>F417*15+9</f>
        <v>28.5</v>
      </c>
      <c r="K417" s="232">
        <f t="shared" si="95"/>
        <v>4.9000000000000004</v>
      </c>
      <c r="L417" s="235">
        <f t="shared" si="89"/>
        <v>33.4</v>
      </c>
      <c r="M417" s="436">
        <v>0.56999999999999995</v>
      </c>
      <c r="N417" s="433">
        <f>M417*34.12</f>
        <v>19.448399999999996</v>
      </c>
    </row>
    <row r="418" spans="1:14" ht="21.95" customHeight="1">
      <c r="A418" s="240"/>
      <c r="B418" s="262" t="s">
        <v>855</v>
      </c>
      <c r="C418" s="240">
        <v>32</v>
      </c>
      <c r="D418" s="237" t="s">
        <v>377</v>
      </c>
      <c r="E418" s="240">
        <v>61</v>
      </c>
      <c r="F418" s="241">
        <v>0.5</v>
      </c>
      <c r="G418" s="24"/>
      <c r="H418" s="270">
        <v>50</v>
      </c>
      <c r="I418" s="271">
        <v>1</v>
      </c>
      <c r="J418" s="238">
        <f>F418*15+9</f>
        <v>16.5</v>
      </c>
      <c r="K418" s="238">
        <f t="shared" si="95"/>
        <v>2.5</v>
      </c>
      <c r="L418" s="241">
        <f t="shared" si="89"/>
        <v>19</v>
      </c>
      <c r="M418" s="437">
        <v>0.56999999999999995</v>
      </c>
      <c r="N418" s="434">
        <f t="shared" ref="N418:N431" si="96">M418*34.12</f>
        <v>19.448399999999996</v>
      </c>
    </row>
    <row r="419" spans="1:14" ht="21.95" customHeight="1">
      <c r="A419" s="240"/>
      <c r="B419" s="240"/>
      <c r="C419" s="234">
        <v>33</v>
      </c>
      <c r="D419" s="237" t="s">
        <v>378</v>
      </c>
      <c r="E419" s="240">
        <v>74</v>
      </c>
      <c r="F419" s="241">
        <v>1.9</v>
      </c>
      <c r="G419" s="24"/>
      <c r="H419" s="270">
        <v>50</v>
      </c>
      <c r="I419" s="271">
        <v>2</v>
      </c>
      <c r="J419" s="238">
        <f>F419*15+18</f>
        <v>46.5</v>
      </c>
      <c r="K419" s="238">
        <f t="shared" ref="K419" si="97">F419*3+2</f>
        <v>7.6999999999999993</v>
      </c>
      <c r="L419" s="241">
        <f t="shared" si="89"/>
        <v>54.2</v>
      </c>
      <c r="M419" s="437">
        <v>0.56999999999999995</v>
      </c>
      <c r="N419" s="434">
        <f t="shared" si="96"/>
        <v>19.448399999999996</v>
      </c>
    </row>
    <row r="420" spans="1:14" ht="21.95" customHeight="1">
      <c r="A420" s="240"/>
      <c r="B420" s="240"/>
      <c r="C420" s="240">
        <v>34</v>
      </c>
      <c r="D420" s="237" t="s">
        <v>379</v>
      </c>
      <c r="E420" s="240">
        <v>139</v>
      </c>
      <c r="F420" s="241">
        <v>0.8</v>
      </c>
      <c r="G420" s="24"/>
      <c r="H420" s="270">
        <v>50</v>
      </c>
      <c r="I420" s="271">
        <v>3</v>
      </c>
      <c r="J420" s="238">
        <f>F420*15+27</f>
        <v>39</v>
      </c>
      <c r="K420" s="238">
        <f>F420*3+3</f>
        <v>5.4</v>
      </c>
      <c r="L420" s="241">
        <f>J420+K420</f>
        <v>44.4</v>
      </c>
      <c r="M420" s="437">
        <v>0.56999999999999995</v>
      </c>
      <c r="N420" s="434">
        <f t="shared" si="96"/>
        <v>19.448399999999996</v>
      </c>
    </row>
    <row r="421" spans="1:14" ht="21.95" customHeight="1">
      <c r="A421" s="240"/>
      <c r="B421" s="240"/>
      <c r="C421" s="234">
        <v>35</v>
      </c>
      <c r="D421" s="237" t="s">
        <v>380</v>
      </c>
      <c r="E421" s="240">
        <v>100</v>
      </c>
      <c r="F421" s="241">
        <v>0.4</v>
      </c>
      <c r="G421" s="24"/>
      <c r="H421" s="270">
        <v>50</v>
      </c>
      <c r="I421" s="271">
        <v>2</v>
      </c>
      <c r="J421" s="238">
        <f>F421*15+18</f>
        <v>24</v>
      </c>
      <c r="K421" s="238">
        <f t="shared" ref="K421" si="98">F421*3+2</f>
        <v>3.2</v>
      </c>
      <c r="L421" s="241">
        <f t="shared" ref="L421" si="99">K421+J421</f>
        <v>27.2</v>
      </c>
      <c r="M421" s="437">
        <v>0.56999999999999995</v>
      </c>
      <c r="N421" s="434">
        <f t="shared" si="96"/>
        <v>19.448399999999996</v>
      </c>
    </row>
    <row r="422" spans="1:14" ht="21.95" customHeight="1">
      <c r="A422" s="240"/>
      <c r="B422" s="240"/>
      <c r="C422" s="240">
        <v>36</v>
      </c>
      <c r="D422" s="237" t="s">
        <v>381</v>
      </c>
      <c r="E422" s="240">
        <v>320</v>
      </c>
      <c r="F422" s="241">
        <v>0.8</v>
      </c>
      <c r="G422" s="24"/>
      <c r="H422" s="270">
        <v>100</v>
      </c>
      <c r="I422" s="271">
        <v>1</v>
      </c>
      <c r="J422" s="238">
        <f>F422*15+10</f>
        <v>22</v>
      </c>
      <c r="K422" s="238">
        <f>F422*3+1</f>
        <v>3.4000000000000004</v>
      </c>
      <c r="L422" s="241">
        <f t="shared" ref="L422" si="100">J422+K422</f>
        <v>25.4</v>
      </c>
      <c r="M422" s="437">
        <v>0.76</v>
      </c>
      <c r="N422" s="434">
        <f t="shared" si="96"/>
        <v>25.931199999999997</v>
      </c>
    </row>
    <row r="423" spans="1:14" ht="21.95" customHeight="1">
      <c r="A423" s="240"/>
      <c r="B423" s="240"/>
      <c r="C423" s="234">
        <v>37</v>
      </c>
      <c r="D423" s="237" t="s">
        <v>382</v>
      </c>
      <c r="E423" s="240">
        <v>196</v>
      </c>
      <c r="F423" s="241">
        <v>1.2</v>
      </c>
      <c r="G423" s="24"/>
      <c r="H423" s="270">
        <v>50</v>
      </c>
      <c r="I423" s="271">
        <v>4</v>
      </c>
      <c r="J423" s="238">
        <f>F423*15+36</f>
        <v>54</v>
      </c>
      <c r="K423" s="238">
        <f>F423*3+4</f>
        <v>7.6</v>
      </c>
      <c r="L423" s="241">
        <f>K423+J423</f>
        <v>61.6</v>
      </c>
      <c r="M423" s="437">
        <v>0.56999999999999995</v>
      </c>
      <c r="N423" s="434">
        <f t="shared" si="96"/>
        <v>19.448399999999996</v>
      </c>
    </row>
    <row r="424" spans="1:14" ht="21.95" customHeight="1">
      <c r="A424" s="240"/>
      <c r="B424" s="240"/>
      <c r="C424" s="240">
        <v>38</v>
      </c>
      <c r="D424" s="237" t="s">
        <v>383</v>
      </c>
      <c r="E424" s="240">
        <v>100</v>
      </c>
      <c r="F424" s="241">
        <v>0.95</v>
      </c>
      <c r="G424" s="24"/>
      <c r="H424" s="270">
        <v>50</v>
      </c>
      <c r="I424" s="271">
        <v>2</v>
      </c>
      <c r="J424" s="238">
        <f>F424*15+18</f>
        <v>32.25</v>
      </c>
      <c r="K424" s="238">
        <f>F424*3+2</f>
        <v>4.8499999999999996</v>
      </c>
      <c r="L424" s="241">
        <f>K424+J424</f>
        <v>37.1</v>
      </c>
      <c r="M424" s="437">
        <v>0.56999999999999995</v>
      </c>
      <c r="N424" s="434">
        <f t="shared" si="96"/>
        <v>19.448399999999996</v>
      </c>
    </row>
    <row r="425" spans="1:14" ht="21.95" customHeight="1">
      <c r="A425" s="240"/>
      <c r="B425" s="240"/>
      <c r="C425" s="234">
        <v>39</v>
      </c>
      <c r="D425" s="237" t="s">
        <v>384</v>
      </c>
      <c r="E425" s="240">
        <v>50</v>
      </c>
      <c r="F425" s="241">
        <v>0.5</v>
      </c>
      <c r="G425" s="24"/>
      <c r="H425" s="270">
        <v>50</v>
      </c>
      <c r="I425" s="271">
        <v>1</v>
      </c>
      <c r="J425" s="238">
        <f>F425*15+9</f>
        <v>16.5</v>
      </c>
      <c r="K425" s="238">
        <f>F425*3+1</f>
        <v>2.5</v>
      </c>
      <c r="L425" s="241">
        <f t="shared" ref="L425:L442" si="101">K425+J425</f>
        <v>19</v>
      </c>
      <c r="M425" s="437">
        <v>0.56999999999999995</v>
      </c>
      <c r="N425" s="434">
        <f t="shared" si="96"/>
        <v>19.448399999999996</v>
      </c>
    </row>
    <row r="426" spans="1:14" ht="21.95" customHeight="1">
      <c r="A426" s="240"/>
      <c r="B426" s="240"/>
      <c r="C426" s="240">
        <v>40</v>
      </c>
      <c r="D426" s="237" t="s">
        <v>385</v>
      </c>
      <c r="E426" s="240">
        <v>110</v>
      </c>
      <c r="F426" s="241">
        <v>1.05</v>
      </c>
      <c r="G426" s="24"/>
      <c r="H426" s="270">
        <v>50</v>
      </c>
      <c r="I426" s="271">
        <v>2</v>
      </c>
      <c r="J426" s="238">
        <f>F426*15+18</f>
        <v>33.75</v>
      </c>
      <c r="K426" s="238">
        <f>F426*3+2</f>
        <v>5.15</v>
      </c>
      <c r="L426" s="241">
        <f t="shared" si="101"/>
        <v>38.9</v>
      </c>
      <c r="M426" s="437">
        <v>0.56999999999999995</v>
      </c>
      <c r="N426" s="434">
        <f t="shared" si="96"/>
        <v>19.448399999999996</v>
      </c>
    </row>
    <row r="427" spans="1:14" ht="21.95" customHeight="1">
      <c r="A427" s="240"/>
      <c r="B427" s="240"/>
      <c r="C427" s="234">
        <v>41</v>
      </c>
      <c r="D427" s="237" t="s">
        <v>386</v>
      </c>
      <c r="E427" s="240">
        <v>80</v>
      </c>
      <c r="F427" s="241">
        <v>1</v>
      </c>
      <c r="G427" s="24"/>
      <c r="H427" s="270">
        <v>50</v>
      </c>
      <c r="I427" s="271">
        <v>2</v>
      </c>
      <c r="J427" s="238">
        <f>F427*15+18</f>
        <v>33</v>
      </c>
      <c r="K427" s="238">
        <f t="shared" ref="K427" si="102">F427*3+2</f>
        <v>5</v>
      </c>
      <c r="L427" s="241">
        <f t="shared" si="101"/>
        <v>38</v>
      </c>
      <c r="M427" s="437">
        <v>0.56999999999999995</v>
      </c>
      <c r="N427" s="434">
        <f t="shared" si="96"/>
        <v>19.448399999999996</v>
      </c>
    </row>
    <row r="428" spans="1:14" ht="21.95" customHeight="1">
      <c r="A428" s="240"/>
      <c r="B428" s="240"/>
      <c r="C428" s="240">
        <v>42</v>
      </c>
      <c r="D428" s="237" t="s">
        <v>387</v>
      </c>
      <c r="E428" s="240">
        <v>65</v>
      </c>
      <c r="F428" s="241">
        <v>1.6</v>
      </c>
      <c r="G428" s="24"/>
      <c r="H428" s="270">
        <v>50</v>
      </c>
      <c r="I428" s="271">
        <v>1</v>
      </c>
      <c r="J428" s="238">
        <f>F428*15+9</f>
        <v>33</v>
      </c>
      <c r="K428" s="238">
        <f t="shared" ref="K428:K429" si="103">F428*3+1</f>
        <v>5.8000000000000007</v>
      </c>
      <c r="L428" s="241">
        <f t="shared" si="101"/>
        <v>38.799999999999997</v>
      </c>
      <c r="M428" s="437">
        <v>0.56999999999999995</v>
      </c>
      <c r="N428" s="434">
        <f t="shared" si="96"/>
        <v>19.448399999999996</v>
      </c>
    </row>
    <row r="429" spans="1:14" ht="21.95" customHeight="1">
      <c r="A429" s="240"/>
      <c r="B429" s="240"/>
      <c r="C429" s="234">
        <v>43</v>
      </c>
      <c r="D429" s="237" t="s">
        <v>388</v>
      </c>
      <c r="E429" s="240">
        <v>55</v>
      </c>
      <c r="F429" s="241">
        <v>0.8</v>
      </c>
      <c r="G429" s="24"/>
      <c r="H429" s="270">
        <v>50</v>
      </c>
      <c r="I429" s="271">
        <v>1</v>
      </c>
      <c r="J429" s="238">
        <f>F429*15+9</f>
        <v>21</v>
      </c>
      <c r="K429" s="238">
        <f t="shared" si="103"/>
        <v>3.4000000000000004</v>
      </c>
      <c r="L429" s="241">
        <f t="shared" si="101"/>
        <v>24.4</v>
      </c>
      <c r="M429" s="437">
        <v>0.56999999999999995</v>
      </c>
      <c r="N429" s="434">
        <f t="shared" si="96"/>
        <v>19.448399999999996</v>
      </c>
    </row>
    <row r="430" spans="1:14" ht="21.95" customHeight="1">
      <c r="A430" s="240"/>
      <c r="B430" s="240"/>
      <c r="C430" s="240">
        <v>44</v>
      </c>
      <c r="D430" s="237" t="s">
        <v>389</v>
      </c>
      <c r="E430" s="240">
        <v>122</v>
      </c>
      <c r="F430" s="241">
        <v>1</v>
      </c>
      <c r="G430" s="24"/>
      <c r="H430" s="270">
        <v>50</v>
      </c>
      <c r="I430" s="271">
        <v>2</v>
      </c>
      <c r="J430" s="238">
        <f>F430*15+18</f>
        <v>33</v>
      </c>
      <c r="K430" s="238">
        <f t="shared" ref="K430" si="104">F430*3+2</f>
        <v>5</v>
      </c>
      <c r="L430" s="241">
        <f t="shared" si="101"/>
        <v>38</v>
      </c>
      <c r="M430" s="437">
        <v>0.56999999999999995</v>
      </c>
      <c r="N430" s="434">
        <f t="shared" si="96"/>
        <v>19.448399999999996</v>
      </c>
    </row>
    <row r="431" spans="1:14" ht="21.95" customHeight="1">
      <c r="A431" s="247"/>
      <c r="B431" s="247"/>
      <c r="C431" s="247">
        <v>45</v>
      </c>
      <c r="D431" s="245" t="s">
        <v>390</v>
      </c>
      <c r="E431" s="247">
        <v>322</v>
      </c>
      <c r="F431" s="248">
        <v>1.9</v>
      </c>
      <c r="G431" s="31"/>
      <c r="H431" s="272">
        <v>50</v>
      </c>
      <c r="I431" s="273">
        <v>4</v>
      </c>
      <c r="J431" s="246">
        <f>F431*15+36</f>
        <v>64.5</v>
      </c>
      <c r="K431" s="246">
        <f t="shared" ref="K431:K441" si="105">F431*3+4</f>
        <v>9.6999999999999993</v>
      </c>
      <c r="L431" s="248">
        <f t="shared" si="101"/>
        <v>74.2</v>
      </c>
      <c r="M431" s="438">
        <v>0.56999999999999995</v>
      </c>
      <c r="N431" s="435">
        <f t="shared" si="96"/>
        <v>19.448399999999996</v>
      </c>
    </row>
    <row r="432" spans="1:14" ht="21.95" customHeight="1">
      <c r="A432" s="150"/>
      <c r="B432" s="150"/>
      <c r="C432" s="150"/>
      <c r="D432" s="5"/>
      <c r="E432" s="150"/>
      <c r="F432" s="148"/>
      <c r="G432" s="2"/>
      <c r="H432" s="266"/>
      <c r="I432" s="51"/>
      <c r="J432" s="151"/>
      <c r="K432" s="151"/>
      <c r="L432" s="148"/>
    </row>
    <row r="433" spans="1:18" s="228" customFormat="1" ht="18">
      <c r="A433" s="150"/>
      <c r="B433" s="150"/>
      <c r="C433" s="150"/>
      <c r="D433" s="5"/>
      <c r="E433" s="150"/>
      <c r="F433" s="148"/>
      <c r="G433" s="2"/>
      <c r="H433" s="266"/>
      <c r="I433" s="51"/>
      <c r="J433" s="151"/>
      <c r="K433" s="151"/>
      <c r="L433" s="148"/>
      <c r="M433" s="378"/>
      <c r="N433" s="378"/>
    </row>
    <row r="434" spans="1:18" s="228" customFormat="1" ht="18">
      <c r="A434" s="150"/>
      <c r="B434" s="150"/>
      <c r="C434" s="150"/>
      <c r="D434" s="5"/>
      <c r="E434" s="150"/>
      <c r="F434" s="148"/>
      <c r="G434" s="2"/>
      <c r="H434" s="266"/>
      <c r="I434" s="51"/>
      <c r="J434" s="151"/>
      <c r="K434" s="151"/>
      <c r="L434" s="148"/>
      <c r="M434" s="378"/>
      <c r="N434" s="378"/>
    </row>
    <row r="435" spans="1:18" s="228" customFormat="1" ht="18">
      <c r="A435" s="150"/>
      <c r="B435" s="150"/>
      <c r="C435" s="150"/>
      <c r="D435" s="5"/>
      <c r="E435" s="150"/>
      <c r="F435" s="148"/>
      <c r="G435" s="2"/>
      <c r="H435" s="266"/>
      <c r="I435" s="51"/>
      <c r="J435" s="151"/>
      <c r="K435" s="151"/>
      <c r="L435" s="148"/>
      <c r="M435" s="378"/>
      <c r="N435" s="378"/>
    </row>
    <row r="436" spans="1:18" s="228" customFormat="1" ht="18">
      <c r="A436" s="150"/>
      <c r="B436" s="150"/>
      <c r="C436" s="150"/>
      <c r="D436" s="5"/>
      <c r="E436" s="150"/>
      <c r="F436" s="148"/>
      <c r="G436" s="2"/>
      <c r="H436" s="266"/>
      <c r="I436" s="51"/>
      <c r="J436" s="151"/>
      <c r="K436" s="151"/>
      <c r="L436" s="148"/>
      <c r="M436" s="378"/>
      <c r="N436" s="378"/>
    </row>
    <row r="437" spans="1:18" s="5" customFormat="1" ht="18">
      <c r="A437" s="691" t="s">
        <v>346</v>
      </c>
      <c r="B437" s="691"/>
      <c r="C437" s="691"/>
      <c r="D437" s="691"/>
      <c r="E437" s="691"/>
      <c r="F437" s="691"/>
      <c r="G437" s="691"/>
      <c r="H437" s="691"/>
      <c r="I437" s="691"/>
      <c r="J437" s="691"/>
      <c r="K437" s="691"/>
      <c r="L437" s="691"/>
      <c r="M437" s="430"/>
      <c r="N437" s="430"/>
      <c r="O437" s="148"/>
      <c r="Q437" s="3"/>
      <c r="R437" s="4"/>
    </row>
    <row r="438" spans="1:18" s="5" customFormat="1" ht="27.75" customHeight="1">
      <c r="A438" s="654" t="s">
        <v>1</v>
      </c>
      <c r="B438" s="632" t="s">
        <v>755</v>
      </c>
      <c r="C438" s="646" t="s">
        <v>21</v>
      </c>
      <c r="D438" s="647"/>
      <c r="E438" s="652" t="s">
        <v>756</v>
      </c>
      <c r="F438" s="654" t="s">
        <v>3</v>
      </c>
      <c r="G438" s="654"/>
      <c r="H438" s="654"/>
      <c r="I438" s="654"/>
      <c r="J438" s="654" t="s">
        <v>761</v>
      </c>
      <c r="K438" s="654"/>
      <c r="L438" s="654"/>
      <c r="M438" s="644" t="s">
        <v>857</v>
      </c>
      <c r="N438" s="644"/>
    </row>
    <row r="439" spans="1:18" s="5" customFormat="1" ht="40.5" customHeight="1">
      <c r="A439" s="654"/>
      <c r="B439" s="633"/>
      <c r="C439" s="648"/>
      <c r="D439" s="649"/>
      <c r="E439" s="652"/>
      <c r="F439" s="652" t="s">
        <v>757</v>
      </c>
      <c r="G439" s="652" t="s">
        <v>5</v>
      </c>
      <c r="H439" s="652" t="s">
        <v>6</v>
      </c>
      <c r="I439" s="652"/>
      <c r="J439" s="652" t="s">
        <v>22</v>
      </c>
      <c r="K439" s="652" t="s">
        <v>762</v>
      </c>
      <c r="L439" s="654" t="s">
        <v>8</v>
      </c>
      <c r="M439" s="644"/>
      <c r="N439" s="644"/>
    </row>
    <row r="440" spans="1:18" s="5" customFormat="1" ht="58.5" customHeight="1">
      <c r="A440" s="632"/>
      <c r="B440" s="634"/>
      <c r="C440" s="650"/>
      <c r="D440" s="651"/>
      <c r="E440" s="653"/>
      <c r="F440" s="653"/>
      <c r="G440" s="653"/>
      <c r="H440" s="381" t="s">
        <v>9</v>
      </c>
      <c r="I440" s="381" t="s">
        <v>10</v>
      </c>
      <c r="J440" s="653"/>
      <c r="K440" s="632"/>
      <c r="L440" s="632"/>
      <c r="M440" s="382" t="s">
        <v>753</v>
      </c>
      <c r="N440" s="383" t="s">
        <v>754</v>
      </c>
    </row>
    <row r="441" spans="1:18" ht="21.95" customHeight="1">
      <c r="A441" s="234">
        <v>5</v>
      </c>
      <c r="B441" s="261" t="s">
        <v>15</v>
      </c>
      <c r="C441" s="234">
        <v>46</v>
      </c>
      <c r="D441" s="231" t="s">
        <v>391</v>
      </c>
      <c r="E441" s="234">
        <v>293</v>
      </c>
      <c r="F441" s="235">
        <v>0.4</v>
      </c>
      <c r="G441" s="18"/>
      <c r="H441" s="268">
        <v>50</v>
      </c>
      <c r="I441" s="269">
        <v>4</v>
      </c>
      <c r="J441" s="232">
        <f>F441*15+36</f>
        <v>42</v>
      </c>
      <c r="K441" s="232">
        <f t="shared" si="105"/>
        <v>5.2</v>
      </c>
      <c r="L441" s="235">
        <f t="shared" si="101"/>
        <v>47.2</v>
      </c>
      <c r="M441" s="436">
        <v>0.56999999999999995</v>
      </c>
      <c r="N441" s="433">
        <f t="shared" ref="N441:N455" si="106">M441*34.12</f>
        <v>19.448399999999996</v>
      </c>
    </row>
    <row r="442" spans="1:18" ht="21.95" customHeight="1">
      <c r="A442" s="240"/>
      <c r="B442" s="262" t="s">
        <v>855</v>
      </c>
      <c r="C442" s="240">
        <v>47</v>
      </c>
      <c r="D442" s="237" t="s">
        <v>392</v>
      </c>
      <c r="E442" s="240">
        <v>85</v>
      </c>
      <c r="F442" s="241">
        <v>0.4</v>
      </c>
      <c r="G442" s="24"/>
      <c r="H442" s="270">
        <v>50</v>
      </c>
      <c r="I442" s="271">
        <v>2</v>
      </c>
      <c r="J442" s="238">
        <f>F442*15+18</f>
        <v>24</v>
      </c>
      <c r="K442" s="238">
        <f t="shared" ref="K442" si="107">F442*3+2</f>
        <v>3.2</v>
      </c>
      <c r="L442" s="241">
        <f t="shared" si="101"/>
        <v>27.2</v>
      </c>
      <c r="M442" s="437">
        <v>0.56999999999999995</v>
      </c>
      <c r="N442" s="434">
        <f t="shared" si="106"/>
        <v>19.448399999999996</v>
      </c>
    </row>
    <row r="443" spans="1:18" ht="21.95" customHeight="1">
      <c r="A443" s="240"/>
      <c r="B443" s="240"/>
      <c r="C443" s="240">
        <v>48</v>
      </c>
      <c r="D443" s="237" t="s">
        <v>259</v>
      </c>
      <c r="E443" s="240">
        <v>157</v>
      </c>
      <c r="F443" s="241">
        <v>1.3</v>
      </c>
      <c r="G443" s="24"/>
      <c r="H443" s="270">
        <v>50</v>
      </c>
      <c r="I443" s="271">
        <v>3</v>
      </c>
      <c r="J443" s="238">
        <f>F443*15+27</f>
        <v>46.5</v>
      </c>
      <c r="K443" s="238">
        <f>F443*3+3</f>
        <v>6.9</v>
      </c>
      <c r="L443" s="241">
        <f>J443+K443</f>
        <v>53.4</v>
      </c>
      <c r="M443" s="437">
        <v>0.56999999999999995</v>
      </c>
      <c r="N443" s="434">
        <f t="shared" si="106"/>
        <v>19.448399999999996</v>
      </c>
    </row>
    <row r="444" spans="1:18" ht="21.95" customHeight="1">
      <c r="A444" s="240"/>
      <c r="B444" s="240"/>
      <c r="C444" s="240">
        <v>49</v>
      </c>
      <c r="D444" s="237" t="s">
        <v>140</v>
      </c>
      <c r="E444" s="240">
        <v>113</v>
      </c>
      <c r="F444" s="241">
        <v>1.5</v>
      </c>
      <c r="G444" s="24"/>
      <c r="H444" s="270">
        <v>50</v>
      </c>
      <c r="I444" s="271">
        <v>2</v>
      </c>
      <c r="J444" s="238">
        <f>F444*15+18</f>
        <v>40.5</v>
      </c>
      <c r="K444" s="238">
        <f t="shared" ref="K444" si="108">F444*3+2</f>
        <v>6.5</v>
      </c>
      <c r="L444" s="241">
        <f t="shared" ref="L444" si="109">K444+J444</f>
        <v>47</v>
      </c>
      <c r="M444" s="437">
        <v>0.56999999999999995</v>
      </c>
      <c r="N444" s="434">
        <f t="shared" si="106"/>
        <v>19.448399999999996</v>
      </c>
    </row>
    <row r="445" spans="1:18" ht="21.95" customHeight="1">
      <c r="A445" s="240"/>
      <c r="B445" s="240"/>
      <c r="C445" s="240">
        <v>50</v>
      </c>
      <c r="D445" s="237" t="s">
        <v>393</v>
      </c>
      <c r="E445" s="240">
        <v>137</v>
      </c>
      <c r="F445" s="241">
        <v>0.6</v>
      </c>
      <c r="G445" s="24"/>
      <c r="H445" s="270">
        <v>50</v>
      </c>
      <c r="I445" s="271">
        <v>3</v>
      </c>
      <c r="J445" s="238">
        <f>F445*15+27</f>
        <v>36</v>
      </c>
      <c r="K445" s="238">
        <f>F445*3+3</f>
        <v>4.8</v>
      </c>
      <c r="L445" s="241">
        <f>J445+K445</f>
        <v>40.799999999999997</v>
      </c>
      <c r="M445" s="437">
        <v>0.56999999999999995</v>
      </c>
      <c r="N445" s="434">
        <f t="shared" si="106"/>
        <v>19.448399999999996</v>
      </c>
    </row>
    <row r="446" spans="1:18" ht="21.95" customHeight="1">
      <c r="A446" s="240"/>
      <c r="B446" s="240"/>
      <c r="C446" s="240">
        <v>51</v>
      </c>
      <c r="D446" s="237" t="s">
        <v>394</v>
      </c>
      <c r="E446" s="240">
        <v>137</v>
      </c>
      <c r="F446" s="241">
        <v>1.5</v>
      </c>
      <c r="G446" s="24"/>
      <c r="H446" s="270">
        <v>50</v>
      </c>
      <c r="I446" s="271">
        <v>3</v>
      </c>
      <c r="J446" s="238">
        <f>F446*15+27</f>
        <v>49.5</v>
      </c>
      <c r="K446" s="238">
        <f>F446*3+3</f>
        <v>7.5</v>
      </c>
      <c r="L446" s="241">
        <f>J446+K446</f>
        <v>57</v>
      </c>
      <c r="M446" s="437">
        <v>0.56999999999999995</v>
      </c>
      <c r="N446" s="434">
        <f t="shared" si="106"/>
        <v>19.448399999999996</v>
      </c>
    </row>
    <row r="447" spans="1:18" ht="21.95" customHeight="1">
      <c r="A447" s="240"/>
      <c r="B447" s="240"/>
      <c r="C447" s="240">
        <v>52</v>
      </c>
      <c r="D447" s="237" t="s">
        <v>395</v>
      </c>
      <c r="E447" s="240">
        <v>90</v>
      </c>
      <c r="F447" s="241">
        <v>1.8</v>
      </c>
      <c r="G447" s="24"/>
      <c r="H447" s="270">
        <v>50</v>
      </c>
      <c r="I447" s="271">
        <v>2</v>
      </c>
      <c r="J447" s="238">
        <f>F447*15+18</f>
        <v>45</v>
      </c>
      <c r="K447" s="238">
        <f t="shared" ref="K447" si="110">F447*3+2</f>
        <v>7.4</v>
      </c>
      <c r="L447" s="241">
        <f t="shared" ref="L447" si="111">K447+J447</f>
        <v>52.4</v>
      </c>
      <c r="M447" s="437">
        <v>0.56999999999999995</v>
      </c>
      <c r="N447" s="434">
        <f t="shared" si="106"/>
        <v>19.448399999999996</v>
      </c>
    </row>
    <row r="448" spans="1:18" ht="21.95" customHeight="1">
      <c r="A448" s="240"/>
      <c r="B448" s="240"/>
      <c r="C448" s="240">
        <v>53</v>
      </c>
      <c r="D448" s="237" t="s">
        <v>396</v>
      </c>
      <c r="E448" s="240">
        <v>140</v>
      </c>
      <c r="F448" s="241">
        <v>0.5</v>
      </c>
      <c r="G448" s="24"/>
      <c r="H448" s="270">
        <v>50</v>
      </c>
      <c r="I448" s="271">
        <v>3</v>
      </c>
      <c r="J448" s="238">
        <f>F448*15+27</f>
        <v>34.5</v>
      </c>
      <c r="K448" s="238">
        <f>F448*3+3</f>
        <v>4.5</v>
      </c>
      <c r="L448" s="241">
        <f>J448+K448</f>
        <v>39</v>
      </c>
      <c r="M448" s="437">
        <v>0.56999999999999995</v>
      </c>
      <c r="N448" s="434">
        <f t="shared" si="106"/>
        <v>19.448399999999996</v>
      </c>
    </row>
    <row r="449" spans="1:18" ht="21.95" customHeight="1">
      <c r="A449" s="240"/>
      <c r="B449" s="240"/>
      <c r="C449" s="240">
        <v>54</v>
      </c>
      <c r="D449" s="237" t="s">
        <v>397</v>
      </c>
      <c r="E449" s="240">
        <v>60</v>
      </c>
      <c r="F449" s="241">
        <v>0.25</v>
      </c>
      <c r="G449" s="24"/>
      <c r="H449" s="270">
        <v>50</v>
      </c>
      <c r="I449" s="271">
        <v>1</v>
      </c>
      <c r="J449" s="238">
        <f>F449*15+9</f>
        <v>12.75</v>
      </c>
      <c r="K449" s="238">
        <f>F449*3+1</f>
        <v>1.75</v>
      </c>
      <c r="L449" s="241">
        <f t="shared" ref="L449" si="112">K449+J449</f>
        <v>14.5</v>
      </c>
      <c r="M449" s="437">
        <v>0.56999999999999995</v>
      </c>
      <c r="N449" s="434">
        <f t="shared" si="106"/>
        <v>19.448399999999996</v>
      </c>
    </row>
    <row r="450" spans="1:18" ht="21.95" customHeight="1">
      <c r="A450" s="240"/>
      <c r="B450" s="240"/>
      <c r="C450" s="240">
        <v>55</v>
      </c>
      <c r="D450" s="237" t="s">
        <v>398</v>
      </c>
      <c r="E450" s="240">
        <v>167</v>
      </c>
      <c r="F450" s="241">
        <v>2</v>
      </c>
      <c r="G450" s="24"/>
      <c r="H450" s="270">
        <v>50</v>
      </c>
      <c r="I450" s="271">
        <v>3</v>
      </c>
      <c r="J450" s="238">
        <f>F450*15+27</f>
        <v>57</v>
      </c>
      <c r="K450" s="238">
        <f>F450*3+3</f>
        <v>9</v>
      </c>
      <c r="L450" s="241">
        <f>J450+K450</f>
        <v>66</v>
      </c>
      <c r="M450" s="437">
        <v>0.56999999999999995</v>
      </c>
      <c r="N450" s="434">
        <f t="shared" si="106"/>
        <v>19.448399999999996</v>
      </c>
    </row>
    <row r="451" spans="1:18" ht="21.95" customHeight="1">
      <c r="A451" s="240"/>
      <c r="B451" s="240"/>
      <c r="C451" s="240">
        <v>56</v>
      </c>
      <c r="D451" s="237" t="s">
        <v>399</v>
      </c>
      <c r="E451" s="240">
        <v>94</v>
      </c>
      <c r="F451" s="241">
        <v>2</v>
      </c>
      <c r="G451" s="24"/>
      <c r="H451" s="270">
        <v>50</v>
      </c>
      <c r="I451" s="271">
        <v>2</v>
      </c>
      <c r="J451" s="238">
        <f>F451*15+18</f>
        <v>48</v>
      </c>
      <c r="K451" s="238">
        <f t="shared" ref="K451" si="113">F451*3+2</f>
        <v>8</v>
      </c>
      <c r="L451" s="241">
        <f t="shared" ref="L451:L452" si="114">K451+J451</f>
        <v>56</v>
      </c>
      <c r="M451" s="437">
        <v>0.56999999999999995</v>
      </c>
      <c r="N451" s="434">
        <f t="shared" si="106"/>
        <v>19.448399999999996</v>
      </c>
    </row>
    <row r="452" spans="1:18" ht="21.95" customHeight="1">
      <c r="A452" s="240"/>
      <c r="B452" s="240"/>
      <c r="C452" s="240">
        <v>57</v>
      </c>
      <c r="D452" s="237" t="s">
        <v>400</v>
      </c>
      <c r="E452" s="240">
        <v>60</v>
      </c>
      <c r="F452" s="241">
        <v>1.8</v>
      </c>
      <c r="G452" s="24"/>
      <c r="H452" s="270">
        <v>50</v>
      </c>
      <c r="I452" s="271">
        <v>1</v>
      </c>
      <c r="J452" s="238">
        <f>F452*15+9</f>
        <v>36</v>
      </c>
      <c r="K452" s="238">
        <f>F452*3+1</f>
        <v>6.4</v>
      </c>
      <c r="L452" s="241">
        <f t="shared" si="114"/>
        <v>42.4</v>
      </c>
      <c r="M452" s="437">
        <v>0.56999999999999995</v>
      </c>
      <c r="N452" s="434">
        <f t="shared" si="106"/>
        <v>19.448399999999996</v>
      </c>
    </row>
    <row r="453" spans="1:18" ht="21.95" customHeight="1">
      <c r="A453" s="240"/>
      <c r="B453" s="240"/>
      <c r="C453" s="240">
        <v>58</v>
      </c>
      <c r="D453" s="237" t="s">
        <v>401</v>
      </c>
      <c r="E453" s="240">
        <v>145</v>
      </c>
      <c r="F453" s="241">
        <v>0.2</v>
      </c>
      <c r="G453" s="24"/>
      <c r="H453" s="270">
        <v>50</v>
      </c>
      <c r="I453" s="271">
        <v>3</v>
      </c>
      <c r="J453" s="238">
        <f>F453*15+27</f>
        <v>30</v>
      </c>
      <c r="K453" s="238">
        <f>F453*3+3</f>
        <v>3.6</v>
      </c>
      <c r="L453" s="241">
        <f>J453+K453</f>
        <v>33.6</v>
      </c>
      <c r="M453" s="437">
        <v>0.56999999999999995</v>
      </c>
      <c r="N453" s="434">
        <f t="shared" si="106"/>
        <v>19.448399999999996</v>
      </c>
    </row>
    <row r="454" spans="1:18" ht="21.95" customHeight="1">
      <c r="A454" s="240"/>
      <c r="B454" s="240"/>
      <c r="C454" s="240">
        <v>59</v>
      </c>
      <c r="D454" s="237" t="s">
        <v>402</v>
      </c>
      <c r="E454" s="240">
        <v>90</v>
      </c>
      <c r="F454" s="241">
        <v>1</v>
      </c>
      <c r="G454" s="24"/>
      <c r="H454" s="270">
        <v>50</v>
      </c>
      <c r="I454" s="271">
        <v>2</v>
      </c>
      <c r="J454" s="238">
        <f>F454*15+18</f>
        <v>33</v>
      </c>
      <c r="K454" s="238">
        <f t="shared" ref="K454" si="115">F454*3+2</f>
        <v>5</v>
      </c>
      <c r="L454" s="241">
        <f t="shared" ref="L454:L473" si="116">K454+J454</f>
        <v>38</v>
      </c>
      <c r="M454" s="437">
        <v>0.56999999999999995</v>
      </c>
      <c r="N454" s="434">
        <f t="shared" si="106"/>
        <v>19.448399999999996</v>
      </c>
    </row>
    <row r="455" spans="1:18" ht="21.95" customHeight="1">
      <c r="A455" s="247"/>
      <c r="B455" s="247"/>
      <c r="C455" s="247">
        <v>60</v>
      </c>
      <c r="D455" s="245" t="s">
        <v>403</v>
      </c>
      <c r="E455" s="247">
        <v>52</v>
      </c>
      <c r="F455" s="248">
        <v>1.4</v>
      </c>
      <c r="G455" s="31"/>
      <c r="H455" s="272">
        <v>50</v>
      </c>
      <c r="I455" s="273">
        <v>1</v>
      </c>
      <c r="J455" s="246">
        <f>F455*15+9</f>
        <v>30</v>
      </c>
      <c r="K455" s="246">
        <f>F455*3+1</f>
        <v>5.1999999999999993</v>
      </c>
      <c r="L455" s="248">
        <f t="shared" si="116"/>
        <v>35.200000000000003</v>
      </c>
      <c r="M455" s="438">
        <v>0.56999999999999995</v>
      </c>
      <c r="N455" s="435">
        <f t="shared" si="106"/>
        <v>19.448399999999996</v>
      </c>
    </row>
    <row r="456" spans="1:18" ht="18">
      <c r="A456" s="150"/>
      <c r="B456" s="150"/>
      <c r="C456" s="150"/>
      <c r="D456" s="5"/>
      <c r="E456" s="150"/>
      <c r="F456" s="267"/>
      <c r="G456" s="2"/>
      <c r="H456" s="266"/>
      <c r="I456" s="51"/>
      <c r="J456" s="151"/>
      <c r="K456" s="151"/>
      <c r="L456" s="148"/>
    </row>
    <row r="457" spans="1:18" s="228" customFormat="1" ht="18">
      <c r="A457" s="150"/>
      <c r="B457" s="150"/>
      <c r="C457" s="150"/>
      <c r="D457" s="5"/>
      <c r="E457" s="150"/>
      <c r="F457" s="267"/>
      <c r="G457" s="2"/>
      <c r="H457" s="266"/>
      <c r="I457" s="51"/>
      <c r="J457" s="151"/>
      <c r="K457" s="151"/>
      <c r="L457" s="148"/>
      <c r="M457" s="378"/>
      <c r="N457" s="378"/>
    </row>
    <row r="458" spans="1:18" s="228" customFormat="1" ht="18">
      <c r="A458" s="150"/>
      <c r="B458" s="150"/>
      <c r="C458" s="150"/>
      <c r="D458" s="5"/>
      <c r="E458" s="150"/>
      <c r="F458" s="267"/>
      <c r="G458" s="2"/>
      <c r="H458" s="266"/>
      <c r="I458" s="51"/>
      <c r="J458" s="151"/>
      <c r="K458" s="151"/>
      <c r="L458" s="148"/>
      <c r="M458" s="378"/>
      <c r="N458" s="378"/>
    </row>
    <row r="459" spans="1:18" s="228" customFormat="1" ht="18">
      <c r="A459" s="150"/>
      <c r="B459" s="150"/>
      <c r="C459" s="150"/>
      <c r="D459" s="5"/>
      <c r="E459" s="150"/>
      <c r="F459" s="267"/>
      <c r="G459" s="2"/>
      <c r="H459" s="266"/>
      <c r="I459" s="51"/>
      <c r="J459" s="151"/>
      <c r="K459" s="151"/>
      <c r="L459" s="148"/>
      <c r="M459" s="378"/>
      <c r="N459" s="378"/>
    </row>
    <row r="460" spans="1:18" s="228" customFormat="1" ht="18">
      <c r="A460" s="150"/>
      <c r="B460" s="150"/>
      <c r="C460" s="150"/>
      <c r="D460" s="5"/>
      <c r="E460" s="150"/>
      <c r="F460" s="267"/>
      <c r="G460" s="2"/>
      <c r="H460" s="266"/>
      <c r="I460" s="51"/>
      <c r="J460" s="151"/>
      <c r="K460" s="151"/>
      <c r="L460" s="148"/>
      <c r="M460" s="378"/>
      <c r="N460" s="378"/>
    </row>
    <row r="461" spans="1:18" s="228" customFormat="1" ht="18">
      <c r="A461" s="150"/>
      <c r="B461" s="150"/>
      <c r="C461" s="150"/>
      <c r="D461" s="5"/>
      <c r="E461" s="150"/>
      <c r="F461" s="267"/>
      <c r="G461" s="2"/>
      <c r="H461" s="266"/>
      <c r="I461" s="51"/>
      <c r="J461" s="151"/>
      <c r="K461" s="151"/>
      <c r="L461" s="148"/>
      <c r="M461" s="378"/>
      <c r="N461" s="378"/>
    </row>
    <row r="462" spans="1:18" s="5" customFormat="1" ht="18">
      <c r="A462" s="691" t="s">
        <v>346</v>
      </c>
      <c r="B462" s="691"/>
      <c r="C462" s="691"/>
      <c r="D462" s="691"/>
      <c r="E462" s="691"/>
      <c r="F462" s="691"/>
      <c r="G462" s="691"/>
      <c r="H462" s="691"/>
      <c r="I462" s="691"/>
      <c r="J462" s="691"/>
      <c r="K462" s="691"/>
      <c r="L462" s="691"/>
      <c r="M462" s="430"/>
      <c r="N462" s="430"/>
      <c r="O462" s="148"/>
      <c r="Q462" s="3"/>
      <c r="R462" s="4"/>
    </row>
    <row r="463" spans="1:18" s="5" customFormat="1" ht="27.75" customHeight="1">
      <c r="A463" s="654" t="s">
        <v>1</v>
      </c>
      <c r="B463" s="632" t="s">
        <v>755</v>
      </c>
      <c r="C463" s="646" t="s">
        <v>21</v>
      </c>
      <c r="D463" s="647"/>
      <c r="E463" s="652" t="s">
        <v>756</v>
      </c>
      <c r="F463" s="654" t="s">
        <v>3</v>
      </c>
      <c r="G463" s="654"/>
      <c r="H463" s="654"/>
      <c r="I463" s="654"/>
      <c r="J463" s="654" t="s">
        <v>761</v>
      </c>
      <c r="K463" s="654"/>
      <c r="L463" s="654"/>
      <c r="M463" s="644" t="s">
        <v>857</v>
      </c>
      <c r="N463" s="644"/>
    </row>
    <row r="464" spans="1:18" s="5" customFormat="1" ht="40.5" customHeight="1">
      <c r="A464" s="654"/>
      <c r="B464" s="633"/>
      <c r="C464" s="648"/>
      <c r="D464" s="649"/>
      <c r="E464" s="652"/>
      <c r="F464" s="652" t="s">
        <v>757</v>
      </c>
      <c r="G464" s="652" t="s">
        <v>5</v>
      </c>
      <c r="H464" s="652" t="s">
        <v>6</v>
      </c>
      <c r="I464" s="652"/>
      <c r="J464" s="652" t="s">
        <v>22</v>
      </c>
      <c r="K464" s="652" t="s">
        <v>762</v>
      </c>
      <c r="L464" s="654" t="s">
        <v>8</v>
      </c>
      <c r="M464" s="644"/>
      <c r="N464" s="644"/>
    </row>
    <row r="465" spans="1:14" s="5" customFormat="1" ht="58.5" customHeight="1">
      <c r="A465" s="632"/>
      <c r="B465" s="634"/>
      <c r="C465" s="650"/>
      <c r="D465" s="651"/>
      <c r="E465" s="653"/>
      <c r="F465" s="653"/>
      <c r="G465" s="653"/>
      <c r="H465" s="381" t="s">
        <v>9</v>
      </c>
      <c r="I465" s="381" t="s">
        <v>10</v>
      </c>
      <c r="J465" s="653"/>
      <c r="K465" s="632"/>
      <c r="L465" s="632"/>
      <c r="M465" s="382" t="s">
        <v>753</v>
      </c>
      <c r="N465" s="383" t="s">
        <v>754</v>
      </c>
    </row>
    <row r="466" spans="1:14" ht="21.95" customHeight="1">
      <c r="A466" s="234">
        <v>5</v>
      </c>
      <c r="B466" s="261" t="s">
        <v>15</v>
      </c>
      <c r="C466" s="234">
        <v>61</v>
      </c>
      <c r="D466" s="231" t="s">
        <v>404</v>
      </c>
      <c r="E466" s="234">
        <v>72</v>
      </c>
      <c r="F466" s="235">
        <v>2</v>
      </c>
      <c r="G466" s="18"/>
      <c r="H466" s="268">
        <v>50</v>
      </c>
      <c r="I466" s="269">
        <v>2</v>
      </c>
      <c r="J466" s="232">
        <f>F466*15+18</f>
        <v>48</v>
      </c>
      <c r="K466" s="232">
        <f t="shared" ref="K466:K467" si="117">F466*3+2</f>
        <v>8</v>
      </c>
      <c r="L466" s="235">
        <f t="shared" si="116"/>
        <v>56</v>
      </c>
      <c r="M466" s="436">
        <v>0.56999999999999995</v>
      </c>
      <c r="N466" s="433">
        <f t="shared" ref="N466:N480" si="118">M466*34.12</f>
        <v>19.448399999999996</v>
      </c>
    </row>
    <row r="467" spans="1:14" ht="21.95" customHeight="1">
      <c r="A467" s="240"/>
      <c r="B467" s="262" t="s">
        <v>855</v>
      </c>
      <c r="C467" s="240">
        <v>62</v>
      </c>
      <c r="D467" s="237" t="s">
        <v>405</v>
      </c>
      <c r="E467" s="240">
        <v>105</v>
      </c>
      <c r="F467" s="241">
        <v>2</v>
      </c>
      <c r="G467" s="24"/>
      <c r="H467" s="270">
        <v>50</v>
      </c>
      <c r="I467" s="271">
        <v>2</v>
      </c>
      <c r="J467" s="238">
        <f>F467*15+18</f>
        <v>48</v>
      </c>
      <c r="K467" s="238">
        <f t="shared" si="117"/>
        <v>8</v>
      </c>
      <c r="L467" s="241">
        <f t="shared" si="116"/>
        <v>56</v>
      </c>
      <c r="M467" s="437">
        <v>0.56999999999999995</v>
      </c>
      <c r="N467" s="434">
        <f t="shared" si="118"/>
        <v>19.448399999999996</v>
      </c>
    </row>
    <row r="468" spans="1:14" ht="21.95" customHeight="1">
      <c r="A468" s="240"/>
      <c r="B468" s="240"/>
      <c r="C468" s="240">
        <v>63</v>
      </c>
      <c r="D468" s="237" t="s">
        <v>406</v>
      </c>
      <c r="E468" s="240">
        <v>25</v>
      </c>
      <c r="F468" s="241">
        <v>0.4</v>
      </c>
      <c r="G468" s="24"/>
      <c r="H468" s="270">
        <v>50</v>
      </c>
      <c r="I468" s="271">
        <v>1</v>
      </c>
      <c r="J468" s="238">
        <f>F468*15+9</f>
        <v>15</v>
      </c>
      <c r="K468" s="238">
        <f>F468*3+1</f>
        <v>2.2000000000000002</v>
      </c>
      <c r="L468" s="241">
        <f t="shared" si="116"/>
        <v>17.2</v>
      </c>
      <c r="M468" s="437">
        <v>0.56999999999999995</v>
      </c>
      <c r="N468" s="434">
        <f t="shared" si="118"/>
        <v>19.448399999999996</v>
      </c>
    </row>
    <row r="469" spans="1:14" ht="21.95" customHeight="1">
      <c r="A469" s="240"/>
      <c r="B469" s="240"/>
      <c r="C469" s="240">
        <v>64</v>
      </c>
      <c r="D469" s="237" t="s">
        <v>209</v>
      </c>
      <c r="E469" s="240">
        <v>93</v>
      </c>
      <c r="F469" s="241">
        <v>1</v>
      </c>
      <c r="G469" s="24"/>
      <c r="H469" s="270">
        <v>50</v>
      </c>
      <c r="I469" s="271">
        <v>2</v>
      </c>
      <c r="J469" s="238">
        <f>F469*15+18</f>
        <v>33</v>
      </c>
      <c r="K469" s="238">
        <f t="shared" ref="K469:K473" si="119">F469*3+2</f>
        <v>5</v>
      </c>
      <c r="L469" s="241">
        <f t="shared" si="116"/>
        <v>38</v>
      </c>
      <c r="M469" s="437">
        <v>0.56999999999999995</v>
      </c>
      <c r="N469" s="434">
        <f t="shared" si="118"/>
        <v>19.448399999999996</v>
      </c>
    </row>
    <row r="470" spans="1:14" ht="21.95" customHeight="1">
      <c r="A470" s="240"/>
      <c r="B470" s="240"/>
      <c r="C470" s="240">
        <v>65</v>
      </c>
      <c r="D470" s="237" t="s">
        <v>407</v>
      </c>
      <c r="E470" s="240">
        <v>74</v>
      </c>
      <c r="F470" s="241">
        <v>0.95</v>
      </c>
      <c r="G470" s="24"/>
      <c r="H470" s="270">
        <v>50</v>
      </c>
      <c r="I470" s="271">
        <v>2</v>
      </c>
      <c r="J470" s="238">
        <f>F470*15+18</f>
        <v>32.25</v>
      </c>
      <c r="K470" s="238">
        <f t="shared" si="119"/>
        <v>4.8499999999999996</v>
      </c>
      <c r="L470" s="241">
        <f t="shared" si="116"/>
        <v>37.1</v>
      </c>
      <c r="M470" s="437">
        <v>0.56999999999999995</v>
      </c>
      <c r="N470" s="434">
        <f t="shared" si="118"/>
        <v>19.448399999999996</v>
      </c>
    </row>
    <row r="471" spans="1:14" ht="21.95" customHeight="1">
      <c r="A471" s="240"/>
      <c r="B471" s="240"/>
      <c r="C471" s="240">
        <v>66</v>
      </c>
      <c r="D471" s="237" t="s">
        <v>408</v>
      </c>
      <c r="E471" s="240">
        <v>78</v>
      </c>
      <c r="F471" s="241">
        <v>0.3</v>
      </c>
      <c r="G471" s="24"/>
      <c r="H471" s="270">
        <v>50</v>
      </c>
      <c r="I471" s="271">
        <v>2</v>
      </c>
      <c r="J471" s="238">
        <f>F471*15+18</f>
        <v>22.5</v>
      </c>
      <c r="K471" s="238">
        <f t="shared" si="119"/>
        <v>2.9</v>
      </c>
      <c r="L471" s="241">
        <f t="shared" si="116"/>
        <v>25.4</v>
      </c>
      <c r="M471" s="437">
        <v>0.56999999999999995</v>
      </c>
      <c r="N471" s="434">
        <f t="shared" si="118"/>
        <v>19.448399999999996</v>
      </c>
    </row>
    <row r="472" spans="1:14" ht="21.95" customHeight="1">
      <c r="A472" s="240"/>
      <c r="B472" s="240"/>
      <c r="C472" s="240">
        <v>67</v>
      </c>
      <c r="D472" s="237" t="s">
        <v>409</v>
      </c>
      <c r="E472" s="240">
        <v>76</v>
      </c>
      <c r="F472" s="241">
        <v>1</v>
      </c>
      <c r="G472" s="24"/>
      <c r="H472" s="270">
        <v>50</v>
      </c>
      <c r="I472" s="271">
        <v>2</v>
      </c>
      <c r="J472" s="238">
        <f>F472*15+18</f>
        <v>33</v>
      </c>
      <c r="K472" s="238">
        <f t="shared" si="119"/>
        <v>5</v>
      </c>
      <c r="L472" s="241">
        <f t="shared" si="116"/>
        <v>38</v>
      </c>
      <c r="M472" s="437">
        <v>0.56999999999999995</v>
      </c>
      <c r="N472" s="434">
        <f t="shared" si="118"/>
        <v>19.448399999999996</v>
      </c>
    </row>
    <row r="473" spans="1:14" ht="21.95" customHeight="1">
      <c r="A473" s="240"/>
      <c r="B473" s="240"/>
      <c r="C473" s="240">
        <v>68</v>
      </c>
      <c r="D473" s="237" t="s">
        <v>410</v>
      </c>
      <c r="E473" s="240">
        <v>102</v>
      </c>
      <c r="F473" s="241">
        <v>1.8</v>
      </c>
      <c r="G473" s="24"/>
      <c r="H473" s="270">
        <v>50</v>
      </c>
      <c r="I473" s="271">
        <v>2</v>
      </c>
      <c r="J473" s="238">
        <f>F473*15+18</f>
        <v>45</v>
      </c>
      <c r="K473" s="238">
        <f t="shared" si="119"/>
        <v>7.4</v>
      </c>
      <c r="L473" s="241">
        <f t="shared" si="116"/>
        <v>52.4</v>
      </c>
      <c r="M473" s="437">
        <v>0.56999999999999995</v>
      </c>
      <c r="N473" s="434">
        <f t="shared" si="118"/>
        <v>19.448399999999996</v>
      </c>
    </row>
    <row r="474" spans="1:14" ht="21.95" customHeight="1">
      <c r="A474" s="240"/>
      <c r="B474" s="240"/>
      <c r="C474" s="240">
        <v>69</v>
      </c>
      <c r="D474" s="237" t="s">
        <v>411</v>
      </c>
      <c r="E474" s="240">
        <v>133</v>
      </c>
      <c r="F474" s="241">
        <v>2</v>
      </c>
      <c r="G474" s="24"/>
      <c r="H474" s="270">
        <v>50</v>
      </c>
      <c r="I474" s="271">
        <v>3</v>
      </c>
      <c r="J474" s="238">
        <f>F474*15+27</f>
        <v>57</v>
      </c>
      <c r="K474" s="238">
        <f>F474*3+3</f>
        <v>9</v>
      </c>
      <c r="L474" s="241">
        <f>J474+K474</f>
        <v>66</v>
      </c>
      <c r="M474" s="437">
        <v>0.56999999999999995</v>
      </c>
      <c r="N474" s="434">
        <f t="shared" si="118"/>
        <v>19.448399999999996</v>
      </c>
    </row>
    <row r="475" spans="1:14" ht="21.95" customHeight="1">
      <c r="A475" s="240"/>
      <c r="B475" s="240"/>
      <c r="C475" s="240">
        <v>70</v>
      </c>
      <c r="D475" s="237" t="s">
        <v>412</v>
      </c>
      <c r="E475" s="240">
        <v>64</v>
      </c>
      <c r="F475" s="241">
        <v>1.5</v>
      </c>
      <c r="G475" s="24"/>
      <c r="H475" s="270">
        <v>50</v>
      </c>
      <c r="I475" s="271">
        <v>1</v>
      </c>
      <c r="J475" s="238">
        <f>F475*15+9</f>
        <v>31.5</v>
      </c>
      <c r="K475" s="238">
        <f>F475*3+1</f>
        <v>5.5</v>
      </c>
      <c r="L475" s="241">
        <f t="shared" ref="L475:L480" si="120">K475+J475</f>
        <v>37</v>
      </c>
      <c r="M475" s="437">
        <v>0.56999999999999995</v>
      </c>
      <c r="N475" s="434">
        <f t="shared" si="118"/>
        <v>19.448399999999996</v>
      </c>
    </row>
    <row r="476" spans="1:14" ht="21.95" customHeight="1">
      <c r="A476" s="240"/>
      <c r="B476" s="240"/>
      <c r="C476" s="240">
        <v>71</v>
      </c>
      <c r="D476" s="237" t="s">
        <v>413</v>
      </c>
      <c r="E476" s="240">
        <v>80</v>
      </c>
      <c r="F476" s="241">
        <v>0.3</v>
      </c>
      <c r="G476" s="24"/>
      <c r="H476" s="270">
        <v>50</v>
      </c>
      <c r="I476" s="271">
        <v>2</v>
      </c>
      <c r="J476" s="238">
        <f>F476*15+18</f>
        <v>22.5</v>
      </c>
      <c r="K476" s="238">
        <f>F476*3+2</f>
        <v>2.9</v>
      </c>
      <c r="L476" s="241">
        <f t="shared" si="120"/>
        <v>25.4</v>
      </c>
      <c r="M476" s="437">
        <v>0.56999999999999995</v>
      </c>
      <c r="N476" s="434">
        <f>M476*34.12</f>
        <v>19.448399999999996</v>
      </c>
    </row>
    <row r="477" spans="1:14" ht="21.95" customHeight="1">
      <c r="A477" s="240"/>
      <c r="B477" s="240"/>
      <c r="C477" s="240">
        <v>72</v>
      </c>
      <c r="D477" s="237" t="s">
        <v>414</v>
      </c>
      <c r="E477" s="240">
        <v>70</v>
      </c>
      <c r="F477" s="241">
        <v>0.5</v>
      </c>
      <c r="G477" s="24"/>
      <c r="H477" s="270">
        <v>50</v>
      </c>
      <c r="I477" s="271">
        <v>2</v>
      </c>
      <c r="J477" s="238">
        <f>F477*15+18</f>
        <v>25.5</v>
      </c>
      <c r="K477" s="238">
        <f>F477*3+2</f>
        <v>3.5</v>
      </c>
      <c r="L477" s="241">
        <f t="shared" si="120"/>
        <v>29</v>
      </c>
      <c r="M477" s="437">
        <v>0.56999999999999995</v>
      </c>
      <c r="N477" s="434">
        <f t="shared" si="118"/>
        <v>19.448399999999996</v>
      </c>
    </row>
    <row r="478" spans="1:14" ht="21.95" customHeight="1">
      <c r="A478" s="240"/>
      <c r="B478" s="240"/>
      <c r="C478" s="240">
        <v>73</v>
      </c>
      <c r="D478" s="237" t="s">
        <v>415</v>
      </c>
      <c r="E478" s="240">
        <v>212</v>
      </c>
      <c r="F478" s="241">
        <v>2</v>
      </c>
      <c r="G478" s="24"/>
      <c r="H478" s="270">
        <v>50</v>
      </c>
      <c r="I478" s="271">
        <v>4</v>
      </c>
      <c r="J478" s="238">
        <f>F478*15+36</f>
        <v>66</v>
      </c>
      <c r="K478" s="238">
        <f>F478*3+4</f>
        <v>10</v>
      </c>
      <c r="L478" s="241">
        <f t="shared" si="120"/>
        <v>76</v>
      </c>
      <c r="M478" s="437">
        <v>0.56999999999999995</v>
      </c>
      <c r="N478" s="434">
        <f t="shared" si="118"/>
        <v>19.448399999999996</v>
      </c>
    </row>
    <row r="479" spans="1:14" ht="21.95" customHeight="1">
      <c r="A479" s="240"/>
      <c r="B479" s="240"/>
      <c r="C479" s="240">
        <v>74</v>
      </c>
      <c r="D479" s="237" t="s">
        <v>416</v>
      </c>
      <c r="E479" s="240">
        <v>88</v>
      </c>
      <c r="F479" s="241">
        <v>0.8</v>
      </c>
      <c r="G479" s="24"/>
      <c r="H479" s="270">
        <v>50</v>
      </c>
      <c r="I479" s="271">
        <v>2</v>
      </c>
      <c r="J479" s="238">
        <f>F479*15+18</f>
        <v>30</v>
      </c>
      <c r="K479" s="238">
        <f t="shared" ref="K479" si="121">F479*3+2</f>
        <v>4.4000000000000004</v>
      </c>
      <c r="L479" s="241">
        <f t="shared" si="120"/>
        <v>34.4</v>
      </c>
      <c r="M479" s="437">
        <v>0.56999999999999995</v>
      </c>
      <c r="N479" s="434">
        <f t="shared" si="118"/>
        <v>19.448399999999996</v>
      </c>
    </row>
    <row r="480" spans="1:14" ht="21.95" customHeight="1">
      <c r="A480" s="247"/>
      <c r="B480" s="247"/>
      <c r="C480" s="247">
        <v>75</v>
      </c>
      <c r="D480" s="245" t="s">
        <v>417</v>
      </c>
      <c r="E480" s="247">
        <v>115</v>
      </c>
      <c r="F480" s="248">
        <v>2</v>
      </c>
      <c r="G480" s="31"/>
      <c r="H480" s="272">
        <v>50</v>
      </c>
      <c r="I480" s="273">
        <v>2</v>
      </c>
      <c r="J480" s="246">
        <f>F480*15+18</f>
        <v>48</v>
      </c>
      <c r="K480" s="246">
        <f>F480*3+2</f>
        <v>8</v>
      </c>
      <c r="L480" s="248">
        <f t="shared" si="120"/>
        <v>56</v>
      </c>
      <c r="M480" s="438">
        <v>0.56999999999999995</v>
      </c>
      <c r="N480" s="435">
        <f t="shared" si="118"/>
        <v>19.448399999999996</v>
      </c>
    </row>
    <row r="481" spans="1:18" ht="18">
      <c r="A481" s="150"/>
      <c r="B481" s="150"/>
      <c r="C481" s="150"/>
      <c r="D481" s="5"/>
      <c r="E481" s="150"/>
      <c r="F481" s="150"/>
      <c r="G481" s="2"/>
      <c r="H481" s="266"/>
      <c r="I481" s="51"/>
      <c r="J481" s="151"/>
      <c r="K481" s="151"/>
      <c r="L481" s="148"/>
    </row>
    <row r="482" spans="1:18" s="228" customFormat="1" ht="18">
      <c r="A482" s="150"/>
      <c r="B482" s="150"/>
      <c r="C482" s="150"/>
      <c r="D482" s="5"/>
      <c r="E482" s="150"/>
      <c r="F482" s="150"/>
      <c r="G482" s="2"/>
      <c r="H482" s="266"/>
      <c r="I482" s="51"/>
      <c r="J482" s="151"/>
      <c r="K482" s="151"/>
      <c r="L482" s="148"/>
      <c r="M482" s="378"/>
      <c r="N482" s="378"/>
    </row>
    <row r="483" spans="1:18" s="228" customFormat="1" ht="18">
      <c r="A483" s="150"/>
      <c r="B483" s="150"/>
      <c r="C483" s="150"/>
      <c r="D483" s="5"/>
      <c r="E483" s="150"/>
      <c r="F483" s="150"/>
      <c r="G483" s="2"/>
      <c r="H483" s="266"/>
      <c r="I483" s="51"/>
      <c r="J483" s="151"/>
      <c r="K483" s="151"/>
      <c r="L483" s="148"/>
      <c r="M483" s="378"/>
      <c r="N483" s="378"/>
    </row>
    <row r="484" spans="1:18" s="228" customFormat="1" ht="18">
      <c r="A484" s="150"/>
      <c r="B484" s="150"/>
      <c r="C484" s="150"/>
      <c r="D484" s="5"/>
      <c r="E484" s="150"/>
      <c r="F484" s="150"/>
      <c r="G484" s="2"/>
      <c r="H484" s="266"/>
      <c r="I484" s="51"/>
      <c r="J484" s="151"/>
      <c r="K484" s="151"/>
      <c r="L484" s="148"/>
      <c r="M484" s="378"/>
      <c r="N484" s="378"/>
    </row>
    <row r="485" spans="1:18" s="228" customFormat="1" ht="18">
      <c r="A485" s="150"/>
      <c r="B485" s="150"/>
      <c r="C485" s="150"/>
      <c r="D485" s="5"/>
      <c r="E485" s="150"/>
      <c r="F485" s="150"/>
      <c r="G485" s="2"/>
      <c r="H485" s="266"/>
      <c r="I485" s="51"/>
      <c r="J485" s="151"/>
      <c r="K485" s="151"/>
      <c r="L485" s="148"/>
      <c r="M485" s="378"/>
      <c r="N485" s="378"/>
    </row>
    <row r="486" spans="1:18" s="228" customFormat="1" ht="18">
      <c r="A486" s="150"/>
      <c r="B486" s="150"/>
      <c r="C486" s="150"/>
      <c r="D486" s="5"/>
      <c r="E486" s="150"/>
      <c r="F486" s="150"/>
      <c r="G486" s="2"/>
      <c r="H486" s="266"/>
      <c r="I486" s="51"/>
      <c r="J486" s="151"/>
      <c r="K486" s="151"/>
      <c r="L486" s="148"/>
      <c r="M486" s="378"/>
      <c r="N486" s="378"/>
    </row>
    <row r="487" spans="1:18" s="5" customFormat="1" ht="18">
      <c r="A487" s="691" t="s">
        <v>346</v>
      </c>
      <c r="B487" s="691"/>
      <c r="C487" s="691"/>
      <c r="D487" s="691"/>
      <c r="E487" s="691"/>
      <c r="F487" s="691"/>
      <c r="G487" s="691"/>
      <c r="H487" s="691"/>
      <c r="I487" s="691"/>
      <c r="J487" s="691"/>
      <c r="K487" s="691"/>
      <c r="L487" s="691"/>
      <c r="M487" s="430"/>
      <c r="N487" s="430"/>
      <c r="O487" s="148"/>
      <c r="Q487" s="3"/>
      <c r="R487" s="4"/>
    </row>
    <row r="488" spans="1:18" s="5" customFormat="1" ht="27.75" customHeight="1">
      <c r="A488" s="654" t="s">
        <v>1</v>
      </c>
      <c r="B488" s="632" t="s">
        <v>755</v>
      </c>
      <c r="C488" s="646" t="s">
        <v>21</v>
      </c>
      <c r="D488" s="647"/>
      <c r="E488" s="652" t="s">
        <v>756</v>
      </c>
      <c r="F488" s="654" t="s">
        <v>3</v>
      </c>
      <c r="G488" s="654"/>
      <c r="H488" s="654"/>
      <c r="I488" s="654"/>
      <c r="J488" s="654" t="s">
        <v>761</v>
      </c>
      <c r="K488" s="654"/>
      <c r="L488" s="654"/>
      <c r="M488" s="644" t="s">
        <v>857</v>
      </c>
      <c r="N488" s="644"/>
    </row>
    <row r="489" spans="1:18" s="5" customFormat="1" ht="40.5" customHeight="1">
      <c r="A489" s="654"/>
      <c r="B489" s="633"/>
      <c r="C489" s="648"/>
      <c r="D489" s="649"/>
      <c r="E489" s="652"/>
      <c r="F489" s="652" t="s">
        <v>757</v>
      </c>
      <c r="G489" s="652" t="s">
        <v>5</v>
      </c>
      <c r="H489" s="652" t="s">
        <v>6</v>
      </c>
      <c r="I489" s="652"/>
      <c r="J489" s="652" t="s">
        <v>22</v>
      </c>
      <c r="K489" s="652" t="s">
        <v>762</v>
      </c>
      <c r="L489" s="654" t="s">
        <v>8</v>
      </c>
      <c r="M489" s="644"/>
      <c r="N489" s="644"/>
    </row>
    <row r="490" spans="1:18" s="5" customFormat="1" ht="58.5" customHeight="1">
      <c r="A490" s="632"/>
      <c r="B490" s="634"/>
      <c r="C490" s="650"/>
      <c r="D490" s="651"/>
      <c r="E490" s="653"/>
      <c r="F490" s="653"/>
      <c r="G490" s="653"/>
      <c r="H490" s="381" t="s">
        <v>9</v>
      </c>
      <c r="I490" s="381" t="s">
        <v>10</v>
      </c>
      <c r="J490" s="653"/>
      <c r="K490" s="632"/>
      <c r="L490" s="632"/>
      <c r="M490" s="439" t="s">
        <v>753</v>
      </c>
      <c r="N490" s="440" t="s">
        <v>754</v>
      </c>
    </row>
    <row r="491" spans="1:18" ht="30.75" customHeight="1">
      <c r="A491" s="234">
        <v>5</v>
      </c>
      <c r="B491" s="261" t="s">
        <v>15</v>
      </c>
      <c r="C491" s="234">
        <v>76</v>
      </c>
      <c r="D491" s="231" t="s">
        <v>418</v>
      </c>
      <c r="E491" s="234">
        <v>33</v>
      </c>
      <c r="F491" s="235">
        <v>2</v>
      </c>
      <c r="G491" s="18"/>
      <c r="H491" s="268">
        <v>50</v>
      </c>
      <c r="I491" s="269">
        <v>1</v>
      </c>
      <c r="J491" s="232">
        <f>F491*15+9</f>
        <v>39</v>
      </c>
      <c r="K491" s="232">
        <f>F491*3+1</f>
        <v>7</v>
      </c>
      <c r="L491" s="235">
        <f t="shared" ref="L491:L493" si="122">K491+J491</f>
        <v>46</v>
      </c>
      <c r="M491" s="436">
        <v>0.56999999999999995</v>
      </c>
      <c r="N491" s="433">
        <f t="shared" ref="N491:N493" si="123">M491*34.12</f>
        <v>19.448399999999996</v>
      </c>
    </row>
    <row r="492" spans="1:18" ht="30.75" customHeight="1">
      <c r="A492" s="240"/>
      <c r="B492" s="262" t="s">
        <v>855</v>
      </c>
      <c r="C492" s="240">
        <v>77</v>
      </c>
      <c r="D492" s="237" t="s">
        <v>396</v>
      </c>
      <c r="E492" s="240">
        <v>78</v>
      </c>
      <c r="F492" s="241">
        <v>0.5</v>
      </c>
      <c r="G492" s="24"/>
      <c r="H492" s="270">
        <v>50</v>
      </c>
      <c r="I492" s="271">
        <v>2</v>
      </c>
      <c r="J492" s="238">
        <f>F492*15+18</f>
        <v>25.5</v>
      </c>
      <c r="K492" s="238">
        <f>F492*3+2</f>
        <v>3.5</v>
      </c>
      <c r="L492" s="241">
        <f t="shared" si="122"/>
        <v>29</v>
      </c>
      <c r="M492" s="437">
        <v>0.56999999999999995</v>
      </c>
      <c r="N492" s="434">
        <f t="shared" si="123"/>
        <v>19.448399999999996</v>
      </c>
    </row>
    <row r="493" spans="1:18" ht="30.75" customHeight="1">
      <c r="A493" s="247"/>
      <c r="B493" s="247"/>
      <c r="C493" s="247">
        <v>78</v>
      </c>
      <c r="D493" s="245" t="s">
        <v>419</v>
      </c>
      <c r="E493" s="247">
        <v>67</v>
      </c>
      <c r="F493" s="248">
        <v>0.5</v>
      </c>
      <c r="G493" s="31"/>
      <c r="H493" s="272">
        <v>50</v>
      </c>
      <c r="I493" s="273">
        <v>2</v>
      </c>
      <c r="J493" s="246">
        <f>F493*15+18</f>
        <v>25.5</v>
      </c>
      <c r="K493" s="246">
        <f>F493*3+2</f>
        <v>3.5</v>
      </c>
      <c r="L493" s="248">
        <f t="shared" si="122"/>
        <v>29</v>
      </c>
      <c r="M493" s="438">
        <v>0.56999999999999995</v>
      </c>
      <c r="N493" s="435">
        <f t="shared" si="123"/>
        <v>19.448399999999996</v>
      </c>
    </row>
    <row r="494" spans="1:18" ht="30.75" customHeight="1">
      <c r="A494" s="186"/>
      <c r="B494" s="186" t="s">
        <v>759</v>
      </c>
      <c r="C494" s="186"/>
      <c r="D494" s="187" t="s">
        <v>827</v>
      </c>
      <c r="E494" s="463">
        <f>SUM(E366:E493)</f>
        <v>8150</v>
      </c>
      <c r="F494" s="69">
        <f>SUM(F366:F493)</f>
        <v>80.09999999999998</v>
      </c>
      <c r="G494" s="464"/>
      <c r="H494" s="463">
        <f t="shared" ref="H494:M494" si="124">SUM(H366:H493)</f>
        <v>4100</v>
      </c>
      <c r="I494" s="465">
        <f t="shared" si="124"/>
        <v>154</v>
      </c>
      <c r="J494" s="112">
        <f t="shared" si="124"/>
        <v>2595.5</v>
      </c>
      <c r="K494" s="112">
        <f t="shared" si="124"/>
        <v>394.2999999999999</v>
      </c>
      <c r="L494" s="69">
        <f t="shared" si="124"/>
        <v>2989.8000000000006</v>
      </c>
      <c r="M494" s="420">
        <f t="shared" si="124"/>
        <v>45.22000000000002</v>
      </c>
      <c r="N494" s="420">
        <f t="shared" ref="N494" si="125">SUM(N366:N493)</f>
        <v>1542.9063999999996</v>
      </c>
    </row>
    <row r="495" spans="1:18">
      <c r="E495" s="194"/>
      <c r="F495" s="194"/>
      <c r="H495" s="194"/>
      <c r="I495" s="194"/>
      <c r="J495" s="195"/>
      <c r="K495" s="195"/>
      <c r="L495" s="195"/>
    </row>
    <row r="496" spans="1:18">
      <c r="I496" s="194"/>
    </row>
    <row r="514" spans="1:14" s="2" customFormat="1">
      <c r="A514" s="645" t="s">
        <v>786</v>
      </c>
      <c r="B514" s="645"/>
      <c r="C514" s="645"/>
      <c r="D514" s="645"/>
      <c r="E514" s="645"/>
      <c r="F514" s="645"/>
      <c r="G514" s="645"/>
      <c r="H514" s="645"/>
      <c r="I514" s="645"/>
      <c r="J514" s="645"/>
      <c r="K514" s="645"/>
      <c r="L514" s="645"/>
      <c r="M514" s="378"/>
      <c r="N514" s="378"/>
    </row>
    <row r="515" spans="1:14" s="5" customFormat="1" ht="27.75" customHeight="1">
      <c r="A515" s="654" t="s">
        <v>1</v>
      </c>
      <c r="B515" s="632" t="s">
        <v>755</v>
      </c>
      <c r="C515" s="646" t="s">
        <v>21</v>
      </c>
      <c r="D515" s="647"/>
      <c r="E515" s="652" t="s">
        <v>756</v>
      </c>
      <c r="F515" s="654" t="s">
        <v>3</v>
      </c>
      <c r="G515" s="654"/>
      <c r="H515" s="654"/>
      <c r="I515" s="654"/>
      <c r="J515" s="654" t="s">
        <v>761</v>
      </c>
      <c r="K515" s="654"/>
      <c r="L515" s="654"/>
      <c r="M515" s="644" t="s">
        <v>857</v>
      </c>
      <c r="N515" s="644"/>
    </row>
    <row r="516" spans="1:14" s="5" customFormat="1" ht="40.5" customHeight="1">
      <c r="A516" s="654"/>
      <c r="B516" s="633"/>
      <c r="C516" s="648"/>
      <c r="D516" s="649"/>
      <c r="E516" s="652"/>
      <c r="F516" s="652" t="s">
        <v>757</v>
      </c>
      <c r="G516" s="652" t="s">
        <v>5</v>
      </c>
      <c r="H516" s="652" t="s">
        <v>6</v>
      </c>
      <c r="I516" s="652"/>
      <c r="J516" s="652" t="s">
        <v>22</v>
      </c>
      <c r="K516" s="652" t="s">
        <v>762</v>
      </c>
      <c r="L516" s="654" t="s">
        <v>8</v>
      </c>
      <c r="M516" s="644"/>
      <c r="N516" s="644"/>
    </row>
    <row r="517" spans="1:14" s="5" customFormat="1" ht="58.5" customHeight="1">
      <c r="A517" s="632"/>
      <c r="B517" s="634"/>
      <c r="C517" s="650"/>
      <c r="D517" s="651"/>
      <c r="E517" s="653"/>
      <c r="F517" s="653"/>
      <c r="G517" s="653"/>
      <c r="H517" s="381" t="s">
        <v>9</v>
      </c>
      <c r="I517" s="381" t="s">
        <v>10</v>
      </c>
      <c r="J517" s="653"/>
      <c r="K517" s="632"/>
      <c r="L517" s="632"/>
      <c r="M517" s="439" t="s">
        <v>753</v>
      </c>
      <c r="N517" s="440" t="s">
        <v>754</v>
      </c>
    </row>
    <row r="518" spans="1:14" s="2" customFormat="1" ht="21.95" customHeight="1">
      <c r="A518" s="15">
        <v>6</v>
      </c>
      <c r="B518" s="35" t="s">
        <v>15</v>
      </c>
      <c r="C518" s="15">
        <v>1</v>
      </c>
      <c r="D518" s="204" t="s">
        <v>787</v>
      </c>
      <c r="E518" s="52">
        <v>121</v>
      </c>
      <c r="F518" s="215">
        <v>0.85</v>
      </c>
      <c r="G518" s="18"/>
      <c r="H518" s="52">
        <v>100</v>
      </c>
      <c r="I518" s="15">
        <v>1</v>
      </c>
      <c r="J518" s="53">
        <v>22.75</v>
      </c>
      <c r="K518" s="53">
        <v>3.55</v>
      </c>
      <c r="L518" s="53">
        <f t="shared" ref="L518:L533" si="126">J518+K518</f>
        <v>26.3</v>
      </c>
      <c r="M518" s="441">
        <v>0.76</v>
      </c>
      <c r="N518" s="441">
        <f>M518*34.12</f>
        <v>25.931199999999997</v>
      </c>
    </row>
    <row r="519" spans="1:14" s="2" customFormat="1" ht="21.95" customHeight="1">
      <c r="A519" s="22"/>
      <c r="B519" s="54" t="s">
        <v>853</v>
      </c>
      <c r="C519" s="22">
        <v>2</v>
      </c>
      <c r="D519" s="376" t="s">
        <v>788</v>
      </c>
      <c r="E519" s="55">
        <v>22</v>
      </c>
      <c r="F519" s="216">
        <v>0.25</v>
      </c>
      <c r="G519" s="24"/>
      <c r="H519" s="55">
        <v>50</v>
      </c>
      <c r="I519" s="22">
        <v>1</v>
      </c>
      <c r="J519" s="57">
        <v>12.75</v>
      </c>
      <c r="K519" s="57">
        <v>1.75</v>
      </c>
      <c r="L519" s="57">
        <f t="shared" si="126"/>
        <v>14.5</v>
      </c>
      <c r="M519" s="408">
        <v>0.56999999999999995</v>
      </c>
      <c r="N519" s="408">
        <f t="shared" ref="N519:N533" si="127">M519*34.12</f>
        <v>19.448399999999996</v>
      </c>
    </row>
    <row r="520" spans="1:14" s="2" customFormat="1" ht="21.95" customHeight="1">
      <c r="A520" s="22"/>
      <c r="B520" s="22"/>
      <c r="C520" s="22">
        <v>3</v>
      </c>
      <c r="D520" s="376" t="s">
        <v>23</v>
      </c>
      <c r="E520" s="55">
        <v>53</v>
      </c>
      <c r="F520" s="213">
        <v>0.61</v>
      </c>
      <c r="G520" s="24"/>
      <c r="H520" s="55">
        <v>100</v>
      </c>
      <c r="I520" s="22">
        <v>1</v>
      </c>
      <c r="J520" s="57">
        <v>19.149999999999999</v>
      </c>
      <c r="K520" s="57">
        <v>2.83</v>
      </c>
      <c r="L520" s="57">
        <f t="shared" si="126"/>
        <v>21.979999999999997</v>
      </c>
      <c r="M520" s="408">
        <v>0.76</v>
      </c>
      <c r="N520" s="408">
        <f t="shared" si="127"/>
        <v>25.931199999999997</v>
      </c>
    </row>
    <row r="521" spans="1:14" s="2" customFormat="1" ht="21.95" customHeight="1">
      <c r="A521" s="22"/>
      <c r="B521" s="22"/>
      <c r="C521" s="22">
        <v>4</v>
      </c>
      <c r="D521" s="376" t="s">
        <v>489</v>
      </c>
      <c r="E521" s="55">
        <v>113</v>
      </c>
      <c r="F521" s="213">
        <v>0.06</v>
      </c>
      <c r="G521" s="24"/>
      <c r="H521" s="55">
        <v>100</v>
      </c>
      <c r="I521" s="22">
        <v>1</v>
      </c>
      <c r="J521" s="57">
        <v>10.9</v>
      </c>
      <c r="K521" s="57">
        <v>1.18</v>
      </c>
      <c r="L521" s="57">
        <f t="shared" si="126"/>
        <v>12.08</v>
      </c>
      <c r="M521" s="408">
        <v>0.76</v>
      </c>
      <c r="N521" s="408">
        <f t="shared" si="127"/>
        <v>25.931199999999997</v>
      </c>
    </row>
    <row r="522" spans="1:14" s="2" customFormat="1" ht="21.95" customHeight="1">
      <c r="A522" s="22"/>
      <c r="B522" s="22"/>
      <c r="C522" s="22">
        <v>5</v>
      </c>
      <c r="D522" s="329" t="s">
        <v>789</v>
      </c>
      <c r="E522" s="55">
        <v>138</v>
      </c>
      <c r="F522" s="213">
        <v>0.56999999999999995</v>
      </c>
      <c r="G522" s="24"/>
      <c r="H522" s="55">
        <v>100</v>
      </c>
      <c r="I522" s="22">
        <v>1</v>
      </c>
      <c r="J522" s="57">
        <v>18.55</v>
      </c>
      <c r="K522" s="57">
        <v>2.71</v>
      </c>
      <c r="L522" s="57">
        <f t="shared" si="126"/>
        <v>21.26</v>
      </c>
      <c r="M522" s="408">
        <v>0.76</v>
      </c>
      <c r="N522" s="408">
        <f t="shared" si="127"/>
        <v>25.931199999999997</v>
      </c>
    </row>
    <row r="523" spans="1:14" s="2" customFormat="1" ht="21.95" customHeight="1">
      <c r="A523" s="22"/>
      <c r="B523" s="22"/>
      <c r="C523" s="22">
        <v>6</v>
      </c>
      <c r="D523" s="376" t="s">
        <v>406</v>
      </c>
      <c r="E523" s="55">
        <v>25</v>
      </c>
      <c r="F523" s="216">
        <v>1.82</v>
      </c>
      <c r="G523" s="24"/>
      <c r="H523" s="55">
        <v>50</v>
      </c>
      <c r="I523" s="22">
        <v>1</v>
      </c>
      <c r="J523" s="57">
        <v>36.299999999999997</v>
      </c>
      <c r="K523" s="57">
        <v>6.46</v>
      </c>
      <c r="L523" s="57">
        <f t="shared" si="126"/>
        <v>42.76</v>
      </c>
      <c r="M523" s="408">
        <v>0.56999999999999995</v>
      </c>
      <c r="N523" s="408">
        <f t="shared" si="127"/>
        <v>19.448399999999996</v>
      </c>
    </row>
    <row r="524" spans="1:14" s="2" customFormat="1" ht="21.95" customHeight="1">
      <c r="A524" s="22"/>
      <c r="B524" s="22"/>
      <c r="C524" s="22">
        <v>7</v>
      </c>
      <c r="D524" s="329" t="s">
        <v>790</v>
      </c>
      <c r="E524" s="55">
        <v>270</v>
      </c>
      <c r="F524" s="213">
        <v>1.61</v>
      </c>
      <c r="G524" s="24"/>
      <c r="H524" s="281">
        <v>100</v>
      </c>
      <c r="I524" s="22">
        <v>2</v>
      </c>
      <c r="J524" s="57">
        <v>44.15</v>
      </c>
      <c r="K524" s="57">
        <v>6.83</v>
      </c>
      <c r="L524" s="57">
        <f t="shared" si="126"/>
        <v>50.98</v>
      </c>
      <c r="M524" s="408">
        <v>0.76</v>
      </c>
      <c r="N524" s="408">
        <f t="shared" si="127"/>
        <v>25.931199999999997</v>
      </c>
    </row>
    <row r="525" spans="1:14" s="2" customFormat="1" ht="21.95" customHeight="1">
      <c r="A525" s="22"/>
      <c r="B525" s="22"/>
      <c r="C525" s="22">
        <v>8</v>
      </c>
      <c r="D525" s="329" t="s">
        <v>18</v>
      </c>
      <c r="E525" s="55">
        <v>20</v>
      </c>
      <c r="F525" s="213">
        <v>0.09</v>
      </c>
      <c r="G525" s="24"/>
      <c r="H525" s="55">
        <v>50</v>
      </c>
      <c r="I525" s="22">
        <v>1</v>
      </c>
      <c r="J525" s="57">
        <v>10.35</v>
      </c>
      <c r="K525" s="57">
        <v>1.27</v>
      </c>
      <c r="L525" s="57">
        <f t="shared" si="126"/>
        <v>11.62</v>
      </c>
      <c r="M525" s="408">
        <v>0.56999999999999995</v>
      </c>
      <c r="N525" s="408">
        <f t="shared" si="127"/>
        <v>19.448399999999996</v>
      </c>
    </row>
    <row r="526" spans="1:14" s="2" customFormat="1" ht="21.95" customHeight="1">
      <c r="A526" s="22"/>
      <c r="B526" s="22"/>
      <c r="C526" s="22">
        <v>9</v>
      </c>
      <c r="D526" s="329" t="s">
        <v>791</v>
      </c>
      <c r="E526" s="55">
        <v>64</v>
      </c>
      <c r="F526" s="213">
        <v>1.59</v>
      </c>
      <c r="G526" s="24"/>
      <c r="H526" s="55">
        <v>100</v>
      </c>
      <c r="I526" s="22">
        <v>1</v>
      </c>
      <c r="J526" s="57">
        <v>33.85</v>
      </c>
      <c r="K526" s="57">
        <v>5.77</v>
      </c>
      <c r="L526" s="57">
        <f t="shared" si="126"/>
        <v>39.620000000000005</v>
      </c>
      <c r="M526" s="408">
        <v>0.76</v>
      </c>
      <c r="N526" s="408">
        <f t="shared" si="127"/>
        <v>25.931199999999997</v>
      </c>
    </row>
    <row r="527" spans="1:14" s="2" customFormat="1" ht="21.95" customHeight="1">
      <c r="A527" s="22"/>
      <c r="B527" s="22"/>
      <c r="C527" s="22">
        <v>10</v>
      </c>
      <c r="D527" s="329" t="s">
        <v>792</v>
      </c>
      <c r="E527" s="55">
        <v>112</v>
      </c>
      <c r="F527" s="213">
        <v>0.61</v>
      </c>
      <c r="G527" s="24"/>
      <c r="H527" s="55">
        <v>100</v>
      </c>
      <c r="I527" s="22">
        <v>1</v>
      </c>
      <c r="J527" s="57">
        <v>19.149999999999999</v>
      </c>
      <c r="K527" s="57">
        <v>2.83</v>
      </c>
      <c r="L527" s="57">
        <f t="shared" si="126"/>
        <v>21.979999999999997</v>
      </c>
      <c r="M527" s="408">
        <v>0.76</v>
      </c>
      <c r="N527" s="408">
        <f t="shared" si="127"/>
        <v>25.931199999999997</v>
      </c>
    </row>
    <row r="528" spans="1:14" s="2" customFormat="1" ht="21.95" customHeight="1">
      <c r="A528" s="22"/>
      <c r="B528" s="22"/>
      <c r="C528" s="22">
        <v>11</v>
      </c>
      <c r="D528" s="329" t="s">
        <v>143</v>
      </c>
      <c r="E528" s="55">
        <v>96</v>
      </c>
      <c r="F528" s="216">
        <v>0.15</v>
      </c>
      <c r="G528" s="24"/>
      <c r="H528" s="55">
        <v>100</v>
      </c>
      <c r="I528" s="22">
        <v>1</v>
      </c>
      <c r="J528" s="57">
        <v>12.25</v>
      </c>
      <c r="K528" s="57">
        <v>1.45</v>
      </c>
      <c r="L528" s="57">
        <f t="shared" si="126"/>
        <v>13.7</v>
      </c>
      <c r="M528" s="408">
        <v>0.76</v>
      </c>
      <c r="N528" s="408">
        <f t="shared" si="127"/>
        <v>25.931199999999997</v>
      </c>
    </row>
    <row r="529" spans="1:14" s="2" customFormat="1" ht="21.95" customHeight="1">
      <c r="A529" s="22"/>
      <c r="B529" s="22"/>
      <c r="C529" s="22">
        <v>12</v>
      </c>
      <c r="D529" s="376" t="s">
        <v>793</v>
      </c>
      <c r="E529" s="55">
        <v>60</v>
      </c>
      <c r="F529" s="213">
        <v>0.47</v>
      </c>
      <c r="G529" s="24"/>
      <c r="H529" s="55">
        <v>100</v>
      </c>
      <c r="I529" s="22">
        <v>1</v>
      </c>
      <c r="J529" s="57">
        <v>17.05</v>
      </c>
      <c r="K529" s="57">
        <v>2.41</v>
      </c>
      <c r="L529" s="57">
        <f t="shared" si="126"/>
        <v>19.46</v>
      </c>
      <c r="M529" s="408">
        <v>0.76</v>
      </c>
      <c r="N529" s="408">
        <f t="shared" si="127"/>
        <v>25.931199999999997</v>
      </c>
    </row>
    <row r="530" spans="1:14" s="2" customFormat="1" ht="21.95" customHeight="1">
      <c r="A530" s="22"/>
      <c r="B530" s="22"/>
      <c r="C530" s="22">
        <v>13</v>
      </c>
      <c r="D530" s="329" t="s">
        <v>794</v>
      </c>
      <c r="E530" s="55">
        <v>78</v>
      </c>
      <c r="F530" s="213">
        <v>1.93</v>
      </c>
      <c r="G530" s="24"/>
      <c r="H530" s="55">
        <v>100</v>
      </c>
      <c r="I530" s="22">
        <v>1</v>
      </c>
      <c r="J530" s="57">
        <v>38.950000000000003</v>
      </c>
      <c r="K530" s="57">
        <v>6.79</v>
      </c>
      <c r="L530" s="57">
        <f t="shared" si="126"/>
        <v>45.74</v>
      </c>
      <c r="M530" s="408">
        <v>0.76</v>
      </c>
      <c r="N530" s="408">
        <f t="shared" si="127"/>
        <v>25.931199999999997</v>
      </c>
    </row>
    <row r="531" spans="1:14" s="2" customFormat="1" ht="21.95" customHeight="1">
      <c r="A531" s="22"/>
      <c r="B531" s="22"/>
      <c r="C531" s="22">
        <v>14</v>
      </c>
      <c r="D531" s="329" t="s">
        <v>795</v>
      </c>
      <c r="E531" s="55">
        <v>90</v>
      </c>
      <c r="F531" s="375">
        <v>1.95</v>
      </c>
      <c r="G531" s="24"/>
      <c r="H531" s="55">
        <v>100</v>
      </c>
      <c r="I531" s="22">
        <v>1</v>
      </c>
      <c r="J531" s="57">
        <v>39.25</v>
      </c>
      <c r="K531" s="57">
        <v>6.85</v>
      </c>
      <c r="L531" s="57">
        <f t="shared" si="126"/>
        <v>46.1</v>
      </c>
      <c r="M531" s="408">
        <v>0.76</v>
      </c>
      <c r="N531" s="408">
        <f t="shared" si="127"/>
        <v>25.931199999999997</v>
      </c>
    </row>
    <row r="532" spans="1:14" s="2" customFormat="1" ht="21.95" customHeight="1">
      <c r="A532" s="22"/>
      <c r="B532" s="22"/>
      <c r="C532" s="22">
        <v>15</v>
      </c>
      <c r="D532" s="329" t="s">
        <v>796</v>
      </c>
      <c r="E532" s="55">
        <v>60</v>
      </c>
      <c r="F532" s="213">
        <v>0.19</v>
      </c>
      <c r="G532" s="24"/>
      <c r="H532" s="55">
        <v>100</v>
      </c>
      <c r="I532" s="22">
        <v>1</v>
      </c>
      <c r="J532" s="57">
        <v>12.85</v>
      </c>
      <c r="K532" s="57">
        <v>1.57</v>
      </c>
      <c r="L532" s="57">
        <f t="shared" si="126"/>
        <v>14.42</v>
      </c>
      <c r="M532" s="408">
        <v>0.76</v>
      </c>
      <c r="N532" s="408">
        <f t="shared" si="127"/>
        <v>25.931199999999997</v>
      </c>
    </row>
    <row r="533" spans="1:14" s="2" customFormat="1" ht="21.95" customHeight="1">
      <c r="A533" s="29"/>
      <c r="B533" s="29"/>
      <c r="C533" s="29">
        <v>16</v>
      </c>
      <c r="D533" s="377" t="s">
        <v>797</v>
      </c>
      <c r="E533" s="59">
        <v>150</v>
      </c>
      <c r="F533" s="214">
        <v>0.08</v>
      </c>
      <c r="G533" s="31"/>
      <c r="H533" s="59">
        <v>100</v>
      </c>
      <c r="I533" s="29">
        <v>1</v>
      </c>
      <c r="J533" s="60">
        <v>11.2</v>
      </c>
      <c r="K533" s="60">
        <v>1.24</v>
      </c>
      <c r="L533" s="60">
        <f t="shared" si="126"/>
        <v>12.44</v>
      </c>
      <c r="M533" s="409">
        <v>0.76</v>
      </c>
      <c r="N533" s="409">
        <f t="shared" si="127"/>
        <v>25.931199999999997</v>
      </c>
    </row>
    <row r="534" spans="1:14" s="2" customFormat="1">
      <c r="A534" s="645" t="s">
        <v>786</v>
      </c>
      <c r="B534" s="645"/>
      <c r="C534" s="645"/>
      <c r="D534" s="645"/>
      <c r="E534" s="645"/>
      <c r="F534" s="645"/>
      <c r="G534" s="645"/>
      <c r="H534" s="645"/>
      <c r="I534" s="645"/>
      <c r="J534" s="645"/>
      <c r="K534" s="645"/>
      <c r="L534" s="645"/>
      <c r="M534" s="442"/>
      <c r="N534" s="442"/>
    </row>
    <row r="535" spans="1:14" s="5" customFormat="1" ht="27.75" customHeight="1">
      <c r="A535" s="654" t="s">
        <v>1</v>
      </c>
      <c r="B535" s="632" t="s">
        <v>755</v>
      </c>
      <c r="C535" s="646" t="s">
        <v>21</v>
      </c>
      <c r="D535" s="647"/>
      <c r="E535" s="652" t="s">
        <v>756</v>
      </c>
      <c r="F535" s="654" t="s">
        <v>3</v>
      </c>
      <c r="G535" s="654"/>
      <c r="H535" s="654"/>
      <c r="I535" s="654"/>
      <c r="J535" s="654" t="s">
        <v>761</v>
      </c>
      <c r="K535" s="654"/>
      <c r="L535" s="654"/>
      <c r="M535" s="644" t="s">
        <v>857</v>
      </c>
      <c r="N535" s="644"/>
    </row>
    <row r="536" spans="1:14" s="5" customFormat="1" ht="40.5" customHeight="1">
      <c r="A536" s="654"/>
      <c r="B536" s="633"/>
      <c r="C536" s="648"/>
      <c r="D536" s="649"/>
      <c r="E536" s="652"/>
      <c r="F536" s="652" t="s">
        <v>757</v>
      </c>
      <c r="G536" s="652" t="s">
        <v>5</v>
      </c>
      <c r="H536" s="652" t="s">
        <v>6</v>
      </c>
      <c r="I536" s="652"/>
      <c r="J536" s="652" t="s">
        <v>22</v>
      </c>
      <c r="K536" s="652" t="s">
        <v>762</v>
      </c>
      <c r="L536" s="654" t="s">
        <v>8</v>
      </c>
      <c r="M536" s="644"/>
      <c r="N536" s="644"/>
    </row>
    <row r="537" spans="1:14" s="5" customFormat="1" ht="58.5" customHeight="1">
      <c r="A537" s="632"/>
      <c r="B537" s="634"/>
      <c r="C537" s="650"/>
      <c r="D537" s="651"/>
      <c r="E537" s="653"/>
      <c r="F537" s="653"/>
      <c r="G537" s="653"/>
      <c r="H537" s="381" t="s">
        <v>9</v>
      </c>
      <c r="I537" s="381" t="s">
        <v>10</v>
      </c>
      <c r="J537" s="653"/>
      <c r="K537" s="632"/>
      <c r="L537" s="632"/>
      <c r="M537" s="439" t="s">
        <v>753</v>
      </c>
      <c r="N537" s="440" t="s">
        <v>754</v>
      </c>
    </row>
    <row r="538" spans="1:14" s="2" customFormat="1" ht="21.95" customHeight="1">
      <c r="A538" s="15">
        <v>6</v>
      </c>
      <c r="B538" s="35" t="s">
        <v>15</v>
      </c>
      <c r="C538" s="15">
        <v>17</v>
      </c>
      <c r="D538" s="328" t="s">
        <v>798</v>
      </c>
      <c r="E538" s="52">
        <v>130</v>
      </c>
      <c r="F538" s="212">
        <v>0.09</v>
      </c>
      <c r="G538" s="18"/>
      <c r="H538" s="52">
        <v>100</v>
      </c>
      <c r="I538" s="15">
        <v>1</v>
      </c>
      <c r="J538" s="53">
        <v>11.35</v>
      </c>
      <c r="K538" s="53">
        <v>1.27</v>
      </c>
      <c r="L538" s="53">
        <f t="shared" ref="L538:L553" si="128">J538+K538</f>
        <v>12.62</v>
      </c>
      <c r="M538" s="441">
        <v>0.76</v>
      </c>
      <c r="N538" s="441">
        <f t="shared" ref="N538:N553" si="129">M538*34.12</f>
        <v>25.931199999999997</v>
      </c>
    </row>
    <row r="539" spans="1:14" s="2" customFormat="1" ht="21.95" customHeight="1">
      <c r="A539" s="22"/>
      <c r="B539" s="54" t="s">
        <v>853</v>
      </c>
      <c r="C539" s="22">
        <v>18</v>
      </c>
      <c r="D539" s="329" t="s">
        <v>799</v>
      </c>
      <c r="E539" s="55">
        <v>82</v>
      </c>
      <c r="F539" s="213">
        <v>0.56999999999999995</v>
      </c>
      <c r="G539" s="24"/>
      <c r="H539" s="55">
        <v>100</v>
      </c>
      <c r="I539" s="22">
        <v>1</v>
      </c>
      <c r="J539" s="57">
        <v>18.55</v>
      </c>
      <c r="K539" s="57">
        <v>2.71</v>
      </c>
      <c r="L539" s="57">
        <f t="shared" si="128"/>
        <v>21.26</v>
      </c>
      <c r="M539" s="408">
        <v>0.76</v>
      </c>
      <c r="N539" s="408">
        <f t="shared" si="129"/>
        <v>25.931199999999997</v>
      </c>
    </row>
    <row r="540" spans="1:14" s="2" customFormat="1" ht="21.95" customHeight="1">
      <c r="A540" s="22"/>
      <c r="B540" s="22"/>
      <c r="C540" s="22">
        <v>19</v>
      </c>
      <c r="D540" s="329" t="s">
        <v>800</v>
      </c>
      <c r="E540" s="55">
        <v>80</v>
      </c>
      <c r="F540" s="213">
        <v>0.15</v>
      </c>
      <c r="G540" s="24"/>
      <c r="H540" s="55">
        <v>100</v>
      </c>
      <c r="I540" s="22">
        <v>1</v>
      </c>
      <c r="J540" s="57">
        <v>12.25</v>
      </c>
      <c r="K540" s="57">
        <v>1.45</v>
      </c>
      <c r="L540" s="57">
        <f t="shared" si="128"/>
        <v>13.7</v>
      </c>
      <c r="M540" s="408">
        <v>0.76</v>
      </c>
      <c r="N540" s="408">
        <f t="shared" si="129"/>
        <v>25.931199999999997</v>
      </c>
    </row>
    <row r="541" spans="1:14" s="2" customFormat="1" ht="21.95" customHeight="1">
      <c r="A541" s="22"/>
      <c r="B541" s="22"/>
      <c r="C541" s="22">
        <v>20</v>
      </c>
      <c r="D541" s="329" t="s">
        <v>801</v>
      </c>
      <c r="E541" s="55">
        <v>64</v>
      </c>
      <c r="F541" s="213">
        <v>0.23</v>
      </c>
      <c r="G541" s="24"/>
      <c r="H541" s="55">
        <v>100</v>
      </c>
      <c r="I541" s="22">
        <v>1</v>
      </c>
      <c r="J541" s="57">
        <v>13.45</v>
      </c>
      <c r="K541" s="57">
        <v>1.69</v>
      </c>
      <c r="L541" s="57">
        <f t="shared" si="128"/>
        <v>15.139999999999999</v>
      </c>
      <c r="M541" s="408">
        <v>0.76</v>
      </c>
      <c r="N541" s="408">
        <f t="shared" si="129"/>
        <v>25.931199999999997</v>
      </c>
    </row>
    <row r="542" spans="1:14" s="2" customFormat="1" ht="21.95" customHeight="1">
      <c r="A542" s="22"/>
      <c r="B542" s="22"/>
      <c r="C542" s="22">
        <v>21</v>
      </c>
      <c r="D542" s="329" t="s">
        <v>802</v>
      </c>
      <c r="E542" s="55">
        <v>28</v>
      </c>
      <c r="F542" s="213">
        <v>0.34</v>
      </c>
      <c r="G542" s="24"/>
      <c r="H542" s="55">
        <v>50</v>
      </c>
      <c r="I542" s="22">
        <v>1</v>
      </c>
      <c r="J542" s="57">
        <v>14.1</v>
      </c>
      <c r="K542" s="57">
        <v>2.02</v>
      </c>
      <c r="L542" s="57">
        <f t="shared" si="128"/>
        <v>16.12</v>
      </c>
      <c r="M542" s="408">
        <v>0.56999999999999995</v>
      </c>
      <c r="N542" s="408">
        <f t="shared" si="129"/>
        <v>19.448399999999996</v>
      </c>
    </row>
    <row r="543" spans="1:14" s="2" customFormat="1" ht="21.95" customHeight="1">
      <c r="A543" s="22"/>
      <c r="B543" s="22"/>
      <c r="C543" s="22">
        <v>22</v>
      </c>
      <c r="D543" s="329" t="s">
        <v>803</v>
      </c>
      <c r="E543" s="55">
        <v>31</v>
      </c>
      <c r="F543" s="213">
        <v>0.48</v>
      </c>
      <c r="G543" s="24"/>
      <c r="H543" s="55">
        <v>50</v>
      </c>
      <c r="I543" s="22">
        <v>1</v>
      </c>
      <c r="J543" s="57">
        <v>16.2</v>
      </c>
      <c r="K543" s="57">
        <v>2.44</v>
      </c>
      <c r="L543" s="57">
        <f t="shared" si="128"/>
        <v>18.64</v>
      </c>
      <c r="M543" s="408">
        <v>0.56999999999999995</v>
      </c>
      <c r="N543" s="408">
        <f t="shared" si="129"/>
        <v>19.448399999999996</v>
      </c>
    </row>
    <row r="544" spans="1:14" s="2" customFormat="1" ht="21.95" customHeight="1">
      <c r="A544" s="22"/>
      <c r="B544" s="22"/>
      <c r="C544" s="22">
        <v>23</v>
      </c>
      <c r="D544" s="329" t="s">
        <v>804</v>
      </c>
      <c r="E544" s="55">
        <v>30</v>
      </c>
      <c r="F544" s="213">
        <v>0.38</v>
      </c>
      <c r="G544" s="24"/>
      <c r="H544" s="55">
        <v>50</v>
      </c>
      <c r="I544" s="22">
        <v>1</v>
      </c>
      <c r="J544" s="57">
        <v>14.7</v>
      </c>
      <c r="K544" s="57">
        <v>2.14</v>
      </c>
      <c r="L544" s="57">
        <f t="shared" si="128"/>
        <v>16.84</v>
      </c>
      <c r="M544" s="408">
        <v>0.56999999999999995</v>
      </c>
      <c r="N544" s="408">
        <f t="shared" si="129"/>
        <v>19.448399999999996</v>
      </c>
    </row>
    <row r="545" spans="1:14" s="2" customFormat="1" ht="21.95" customHeight="1">
      <c r="A545" s="22"/>
      <c r="B545" s="22"/>
      <c r="C545" s="22">
        <v>24</v>
      </c>
      <c r="D545" s="329" t="s">
        <v>80</v>
      </c>
      <c r="E545" s="55">
        <v>79</v>
      </c>
      <c r="F545" s="213">
        <v>1.04</v>
      </c>
      <c r="G545" s="24"/>
      <c r="H545" s="55">
        <v>100</v>
      </c>
      <c r="I545" s="22">
        <v>1</v>
      </c>
      <c r="J545" s="57">
        <v>25.6</v>
      </c>
      <c r="K545" s="57">
        <v>4.12</v>
      </c>
      <c r="L545" s="57">
        <f t="shared" si="128"/>
        <v>29.720000000000002</v>
      </c>
      <c r="M545" s="408">
        <v>0.76</v>
      </c>
      <c r="N545" s="408">
        <f t="shared" si="129"/>
        <v>25.931199999999997</v>
      </c>
    </row>
    <row r="546" spans="1:14" s="2" customFormat="1" ht="21.95" customHeight="1">
      <c r="A546" s="22"/>
      <c r="B546" s="22"/>
      <c r="C546" s="22">
        <v>25</v>
      </c>
      <c r="D546" s="329" t="s">
        <v>805</v>
      </c>
      <c r="E546" s="55">
        <v>120</v>
      </c>
      <c r="F546" s="213">
        <v>0.85</v>
      </c>
      <c r="G546" s="24"/>
      <c r="H546" s="55">
        <v>100</v>
      </c>
      <c r="I546" s="22">
        <v>1</v>
      </c>
      <c r="J546" s="57">
        <v>22.75</v>
      </c>
      <c r="K546" s="57">
        <v>3.55</v>
      </c>
      <c r="L546" s="57">
        <f t="shared" si="128"/>
        <v>26.3</v>
      </c>
      <c r="M546" s="408">
        <v>0.76</v>
      </c>
      <c r="N546" s="408">
        <f t="shared" si="129"/>
        <v>25.931199999999997</v>
      </c>
    </row>
    <row r="547" spans="1:14" s="2" customFormat="1" ht="21.95" customHeight="1">
      <c r="A547" s="22"/>
      <c r="B547" s="22"/>
      <c r="C547" s="22">
        <v>26</v>
      </c>
      <c r="D547" s="329" t="s">
        <v>806</v>
      </c>
      <c r="E547" s="55">
        <v>200</v>
      </c>
      <c r="F547" s="213">
        <v>0.11</v>
      </c>
      <c r="G547" s="24"/>
      <c r="H547" s="55">
        <v>100</v>
      </c>
      <c r="I547" s="22">
        <v>1</v>
      </c>
      <c r="J547" s="57">
        <v>11.65</v>
      </c>
      <c r="K547" s="57">
        <v>1.33</v>
      </c>
      <c r="L547" s="57">
        <f t="shared" si="128"/>
        <v>12.98</v>
      </c>
      <c r="M547" s="408">
        <v>0.76</v>
      </c>
      <c r="N547" s="408">
        <f t="shared" si="129"/>
        <v>25.931199999999997</v>
      </c>
    </row>
    <row r="548" spans="1:14" s="2" customFormat="1" ht="21.95" customHeight="1">
      <c r="A548" s="22"/>
      <c r="B548" s="22"/>
      <c r="C548" s="22">
        <v>27</v>
      </c>
      <c r="D548" s="329" t="s">
        <v>498</v>
      </c>
      <c r="E548" s="55">
        <v>20</v>
      </c>
      <c r="F548" s="213">
        <v>0.25</v>
      </c>
      <c r="G548" s="24"/>
      <c r="H548" s="55">
        <v>50</v>
      </c>
      <c r="I548" s="22">
        <v>1</v>
      </c>
      <c r="J548" s="57">
        <v>12.75</v>
      </c>
      <c r="K548" s="57">
        <v>1.75</v>
      </c>
      <c r="L548" s="57">
        <f t="shared" si="128"/>
        <v>14.5</v>
      </c>
      <c r="M548" s="408">
        <v>0.56999999999999995</v>
      </c>
      <c r="N548" s="408">
        <f t="shared" si="129"/>
        <v>19.448399999999996</v>
      </c>
    </row>
    <row r="549" spans="1:14" s="2" customFormat="1" ht="21.95" customHeight="1">
      <c r="A549" s="22"/>
      <c r="B549" s="22"/>
      <c r="C549" s="22">
        <v>28</v>
      </c>
      <c r="D549" s="329" t="s">
        <v>807</v>
      </c>
      <c r="E549" s="55">
        <v>154</v>
      </c>
      <c r="F549" s="213">
        <v>0.38</v>
      </c>
      <c r="G549" s="24"/>
      <c r="H549" s="55">
        <v>100</v>
      </c>
      <c r="I549" s="22">
        <v>1</v>
      </c>
      <c r="J549" s="57">
        <v>15.7</v>
      </c>
      <c r="K549" s="57">
        <v>2.14</v>
      </c>
      <c r="L549" s="57">
        <f t="shared" si="128"/>
        <v>17.84</v>
      </c>
      <c r="M549" s="408">
        <v>0.76</v>
      </c>
      <c r="N549" s="408">
        <f t="shared" si="129"/>
        <v>25.931199999999997</v>
      </c>
    </row>
    <row r="550" spans="1:14" s="2" customFormat="1" ht="21.95" customHeight="1">
      <c r="A550" s="22"/>
      <c r="B550" s="22"/>
      <c r="C550" s="22">
        <v>29</v>
      </c>
      <c r="D550" s="329" t="s">
        <v>526</v>
      </c>
      <c r="E550" s="55">
        <v>115</v>
      </c>
      <c r="F550" s="213">
        <v>1.61</v>
      </c>
      <c r="G550" s="24"/>
      <c r="H550" s="55">
        <v>100</v>
      </c>
      <c r="I550" s="22">
        <v>1</v>
      </c>
      <c r="J550" s="57">
        <v>34.15</v>
      </c>
      <c r="K550" s="57">
        <v>5.83</v>
      </c>
      <c r="L550" s="57">
        <f t="shared" si="128"/>
        <v>39.979999999999997</v>
      </c>
      <c r="M550" s="408">
        <v>0.76</v>
      </c>
      <c r="N550" s="408">
        <f t="shared" si="129"/>
        <v>25.931199999999997</v>
      </c>
    </row>
    <row r="551" spans="1:14" s="2" customFormat="1" ht="21.95" customHeight="1">
      <c r="A551" s="22"/>
      <c r="B551" s="22"/>
      <c r="C551" s="22">
        <v>30</v>
      </c>
      <c r="D551" s="329" t="s">
        <v>808</v>
      </c>
      <c r="E551" s="55">
        <v>33</v>
      </c>
      <c r="F551" s="213">
        <v>0.56999999999999995</v>
      </c>
      <c r="G551" s="24"/>
      <c r="H551" s="55">
        <v>50</v>
      </c>
      <c r="I551" s="22">
        <v>1</v>
      </c>
      <c r="J551" s="57">
        <v>17.55</v>
      </c>
      <c r="K551" s="57">
        <v>2.71</v>
      </c>
      <c r="L551" s="57">
        <f t="shared" si="128"/>
        <v>20.260000000000002</v>
      </c>
      <c r="M551" s="408">
        <v>0.56999999999999995</v>
      </c>
      <c r="N551" s="408">
        <f t="shared" si="129"/>
        <v>19.448399999999996</v>
      </c>
    </row>
    <row r="552" spans="1:14" s="2" customFormat="1" ht="21.95" customHeight="1">
      <c r="A552" s="22"/>
      <c r="B552" s="22"/>
      <c r="C552" s="22">
        <v>31</v>
      </c>
      <c r="D552" s="329" t="s">
        <v>809</v>
      </c>
      <c r="E552" s="55">
        <v>129</v>
      </c>
      <c r="F552" s="213">
        <v>0.85</v>
      </c>
      <c r="G552" s="24"/>
      <c r="H552" s="55">
        <v>100</v>
      </c>
      <c r="I552" s="22">
        <v>1</v>
      </c>
      <c r="J552" s="57">
        <v>22.75</v>
      </c>
      <c r="K552" s="57">
        <v>3.55</v>
      </c>
      <c r="L552" s="57">
        <f t="shared" si="128"/>
        <v>26.3</v>
      </c>
      <c r="M552" s="408">
        <v>0.76</v>
      </c>
      <c r="N552" s="408">
        <f t="shared" si="129"/>
        <v>25.931199999999997</v>
      </c>
    </row>
    <row r="553" spans="1:14" s="2" customFormat="1" ht="21.95" customHeight="1">
      <c r="A553" s="29"/>
      <c r="B553" s="29"/>
      <c r="C553" s="29">
        <v>32</v>
      </c>
      <c r="D553" s="377" t="s">
        <v>810</v>
      </c>
      <c r="E553" s="59">
        <v>80</v>
      </c>
      <c r="F553" s="214">
        <v>0.76</v>
      </c>
      <c r="G553" s="31"/>
      <c r="H553" s="59">
        <v>100</v>
      </c>
      <c r="I553" s="29">
        <v>1</v>
      </c>
      <c r="J553" s="60">
        <v>21.4</v>
      </c>
      <c r="K553" s="60">
        <v>3.28</v>
      </c>
      <c r="L553" s="60">
        <f t="shared" si="128"/>
        <v>24.68</v>
      </c>
      <c r="M553" s="409">
        <v>0.76</v>
      </c>
      <c r="N553" s="409">
        <f t="shared" si="129"/>
        <v>25.931199999999997</v>
      </c>
    </row>
    <row r="554" spans="1:14" s="2" customFormat="1">
      <c r="A554" s="645" t="s">
        <v>786</v>
      </c>
      <c r="B554" s="645"/>
      <c r="C554" s="645"/>
      <c r="D554" s="645"/>
      <c r="E554" s="645"/>
      <c r="F554" s="645"/>
      <c r="G554" s="645"/>
      <c r="H554" s="645"/>
      <c r="I554" s="645"/>
      <c r="J554" s="645"/>
      <c r="K554" s="645"/>
      <c r="L554" s="645"/>
      <c r="M554" s="378"/>
      <c r="N554" s="378"/>
    </row>
    <row r="555" spans="1:14" s="5" customFormat="1" ht="27.75" customHeight="1">
      <c r="A555" s="654" t="s">
        <v>1</v>
      </c>
      <c r="B555" s="632" t="s">
        <v>755</v>
      </c>
      <c r="C555" s="646" t="s">
        <v>21</v>
      </c>
      <c r="D555" s="647"/>
      <c r="E555" s="652" t="s">
        <v>756</v>
      </c>
      <c r="F555" s="654" t="s">
        <v>3</v>
      </c>
      <c r="G555" s="654"/>
      <c r="H555" s="654"/>
      <c r="I555" s="654"/>
      <c r="J555" s="654" t="s">
        <v>761</v>
      </c>
      <c r="K555" s="654"/>
      <c r="L555" s="654"/>
      <c r="M555" s="644" t="s">
        <v>857</v>
      </c>
      <c r="N555" s="644"/>
    </row>
    <row r="556" spans="1:14" s="5" customFormat="1" ht="40.5" customHeight="1">
      <c r="A556" s="654"/>
      <c r="B556" s="633"/>
      <c r="C556" s="648"/>
      <c r="D556" s="649"/>
      <c r="E556" s="652"/>
      <c r="F556" s="652" t="s">
        <v>757</v>
      </c>
      <c r="G556" s="652" t="s">
        <v>5</v>
      </c>
      <c r="H556" s="652" t="s">
        <v>6</v>
      </c>
      <c r="I556" s="652"/>
      <c r="J556" s="652" t="s">
        <v>22</v>
      </c>
      <c r="K556" s="652" t="s">
        <v>762</v>
      </c>
      <c r="L556" s="654" t="s">
        <v>8</v>
      </c>
      <c r="M556" s="644"/>
      <c r="N556" s="644"/>
    </row>
    <row r="557" spans="1:14" s="5" customFormat="1" ht="58.5" customHeight="1">
      <c r="A557" s="632"/>
      <c r="B557" s="634"/>
      <c r="C557" s="650"/>
      <c r="D557" s="651"/>
      <c r="E557" s="653"/>
      <c r="F557" s="653"/>
      <c r="G557" s="653"/>
      <c r="H557" s="381" t="s">
        <v>9</v>
      </c>
      <c r="I557" s="381" t="s">
        <v>10</v>
      </c>
      <c r="J557" s="653"/>
      <c r="K557" s="632"/>
      <c r="L557" s="632"/>
      <c r="M557" s="439" t="s">
        <v>753</v>
      </c>
      <c r="N557" s="440" t="s">
        <v>754</v>
      </c>
    </row>
    <row r="558" spans="1:14" s="2" customFormat="1" ht="21.95" customHeight="1">
      <c r="A558" s="15">
        <v>6</v>
      </c>
      <c r="B558" s="35" t="s">
        <v>15</v>
      </c>
      <c r="C558" s="15">
        <v>33</v>
      </c>
      <c r="D558" s="328" t="s">
        <v>114</v>
      </c>
      <c r="E558" s="52">
        <v>15</v>
      </c>
      <c r="F558" s="212">
        <v>0.06</v>
      </c>
      <c r="G558" s="18"/>
      <c r="H558" s="52">
        <v>50</v>
      </c>
      <c r="I558" s="15">
        <v>1</v>
      </c>
      <c r="J558" s="215">
        <v>9.9</v>
      </c>
      <c r="K558" s="53">
        <v>1.18</v>
      </c>
      <c r="L558" s="53">
        <f t="shared" ref="L558:L573" si="130">J558+K558</f>
        <v>11.08</v>
      </c>
      <c r="M558" s="441">
        <v>0.56999999999999995</v>
      </c>
      <c r="N558" s="441">
        <f t="shared" ref="N558:N573" si="131">M558*34.12</f>
        <v>19.448399999999996</v>
      </c>
    </row>
    <row r="559" spans="1:14" s="2" customFormat="1" ht="21.95" customHeight="1">
      <c r="A559" s="22"/>
      <c r="B559" s="54" t="s">
        <v>853</v>
      </c>
      <c r="C559" s="22">
        <v>34</v>
      </c>
      <c r="D559" s="329" t="s">
        <v>106</v>
      </c>
      <c r="E559" s="55">
        <v>75</v>
      </c>
      <c r="F559" s="213">
        <v>0.19</v>
      </c>
      <c r="G559" s="24"/>
      <c r="H559" s="55">
        <v>100</v>
      </c>
      <c r="I559" s="22">
        <v>1</v>
      </c>
      <c r="J559" s="216">
        <v>12.85</v>
      </c>
      <c r="K559" s="57">
        <v>1.57</v>
      </c>
      <c r="L559" s="57">
        <f t="shared" si="130"/>
        <v>14.42</v>
      </c>
      <c r="M559" s="408">
        <v>0.76</v>
      </c>
      <c r="N559" s="408">
        <f t="shared" si="131"/>
        <v>25.931199999999997</v>
      </c>
    </row>
    <row r="560" spans="1:14" s="2" customFormat="1" ht="21.95" customHeight="1">
      <c r="A560" s="22"/>
      <c r="B560" s="22"/>
      <c r="C560" s="22">
        <v>35</v>
      </c>
      <c r="D560" s="329" t="s">
        <v>811</v>
      </c>
      <c r="E560" s="55">
        <v>112</v>
      </c>
      <c r="F560" s="213">
        <v>0.06</v>
      </c>
      <c r="G560" s="24"/>
      <c r="H560" s="55">
        <v>100</v>
      </c>
      <c r="I560" s="22">
        <v>1</v>
      </c>
      <c r="J560" s="216">
        <v>10.9</v>
      </c>
      <c r="K560" s="57">
        <v>1.18</v>
      </c>
      <c r="L560" s="57">
        <f t="shared" si="130"/>
        <v>12.08</v>
      </c>
      <c r="M560" s="408">
        <v>0.76</v>
      </c>
      <c r="N560" s="408">
        <f t="shared" si="131"/>
        <v>25.931199999999997</v>
      </c>
    </row>
    <row r="561" spans="1:14" s="2" customFormat="1" ht="21.95" customHeight="1">
      <c r="A561" s="22"/>
      <c r="B561" s="22"/>
      <c r="C561" s="22">
        <v>36</v>
      </c>
      <c r="D561" s="329" t="s">
        <v>812</v>
      </c>
      <c r="E561" s="55">
        <v>60</v>
      </c>
      <c r="F561" s="213">
        <v>0.06</v>
      </c>
      <c r="G561" s="24"/>
      <c r="H561" s="55">
        <v>50</v>
      </c>
      <c r="I561" s="22">
        <v>1</v>
      </c>
      <c r="J561" s="216">
        <v>9.9</v>
      </c>
      <c r="K561" s="57">
        <v>1.18</v>
      </c>
      <c r="L561" s="57">
        <f t="shared" si="130"/>
        <v>11.08</v>
      </c>
      <c r="M561" s="408">
        <v>0.56999999999999995</v>
      </c>
      <c r="N561" s="408">
        <f t="shared" si="131"/>
        <v>19.448399999999996</v>
      </c>
    </row>
    <row r="562" spans="1:14" s="2" customFormat="1" ht="21.95" customHeight="1">
      <c r="A562" s="22"/>
      <c r="B562" s="22"/>
      <c r="C562" s="22">
        <v>37</v>
      </c>
      <c r="D562" s="329" t="s">
        <v>813</v>
      </c>
      <c r="E562" s="55">
        <v>142</v>
      </c>
      <c r="F562" s="213">
        <v>1.23</v>
      </c>
      <c r="G562" s="24"/>
      <c r="H562" s="55">
        <v>100</v>
      </c>
      <c r="I562" s="22">
        <v>1</v>
      </c>
      <c r="J562" s="216">
        <v>28.45</v>
      </c>
      <c r="K562" s="57">
        <v>4.6900000000000004</v>
      </c>
      <c r="L562" s="57">
        <f t="shared" si="130"/>
        <v>33.14</v>
      </c>
      <c r="M562" s="408">
        <v>0.76</v>
      </c>
      <c r="N562" s="408">
        <f t="shared" si="131"/>
        <v>25.931199999999997</v>
      </c>
    </row>
    <row r="563" spans="1:14" s="2" customFormat="1" ht="21.95" customHeight="1">
      <c r="A563" s="22"/>
      <c r="B563" s="22"/>
      <c r="C563" s="22">
        <v>38</v>
      </c>
      <c r="D563" s="329" t="s">
        <v>814</v>
      </c>
      <c r="E563" s="55">
        <v>130</v>
      </c>
      <c r="F563" s="375">
        <v>1.04</v>
      </c>
      <c r="G563" s="24"/>
      <c r="H563" s="55">
        <v>100</v>
      </c>
      <c r="I563" s="22">
        <v>1</v>
      </c>
      <c r="J563" s="216">
        <v>25.6</v>
      </c>
      <c r="K563" s="57">
        <v>4.12</v>
      </c>
      <c r="L563" s="57">
        <f t="shared" si="130"/>
        <v>29.720000000000002</v>
      </c>
      <c r="M563" s="408">
        <v>0.76</v>
      </c>
      <c r="N563" s="408">
        <f t="shared" si="131"/>
        <v>25.931199999999997</v>
      </c>
    </row>
    <row r="564" spans="1:14" s="2" customFormat="1" ht="21.95" customHeight="1">
      <c r="A564" s="22"/>
      <c r="B564" s="22"/>
      <c r="C564" s="22">
        <v>39</v>
      </c>
      <c r="D564" s="329" t="s">
        <v>815</v>
      </c>
      <c r="E564" s="55">
        <v>120</v>
      </c>
      <c r="F564" s="375">
        <v>0.19</v>
      </c>
      <c r="G564" s="24"/>
      <c r="H564" s="55">
        <v>100</v>
      </c>
      <c r="I564" s="22">
        <v>1</v>
      </c>
      <c r="J564" s="216">
        <v>12.85</v>
      </c>
      <c r="K564" s="57">
        <v>1.57</v>
      </c>
      <c r="L564" s="57">
        <f t="shared" si="130"/>
        <v>14.42</v>
      </c>
      <c r="M564" s="408">
        <v>0.76</v>
      </c>
      <c r="N564" s="408">
        <f t="shared" si="131"/>
        <v>25.931199999999997</v>
      </c>
    </row>
    <row r="565" spans="1:14" s="2" customFormat="1" ht="21.95" customHeight="1">
      <c r="A565" s="22"/>
      <c r="B565" s="22"/>
      <c r="C565" s="22">
        <v>40</v>
      </c>
      <c r="D565" s="329" t="s">
        <v>816</v>
      </c>
      <c r="E565" s="55">
        <v>70</v>
      </c>
      <c r="F565" s="375">
        <v>0.68</v>
      </c>
      <c r="G565" s="24"/>
      <c r="H565" s="55">
        <v>100</v>
      </c>
      <c r="I565" s="22">
        <v>1</v>
      </c>
      <c r="J565" s="216">
        <v>20.2</v>
      </c>
      <c r="K565" s="57">
        <v>3.04</v>
      </c>
      <c r="L565" s="57">
        <f t="shared" si="130"/>
        <v>23.24</v>
      </c>
      <c r="M565" s="408">
        <v>0.76</v>
      </c>
      <c r="N565" s="408">
        <f t="shared" si="131"/>
        <v>25.931199999999997</v>
      </c>
    </row>
    <row r="566" spans="1:14" s="2" customFormat="1" ht="21.95" customHeight="1">
      <c r="A566" s="22"/>
      <c r="B566" s="22"/>
      <c r="C566" s="22">
        <v>41</v>
      </c>
      <c r="D566" s="329" t="s">
        <v>817</v>
      </c>
      <c r="E566" s="55">
        <v>92</v>
      </c>
      <c r="F566" s="375">
        <v>0.3</v>
      </c>
      <c r="G566" s="24"/>
      <c r="H566" s="55">
        <v>100</v>
      </c>
      <c r="I566" s="22">
        <v>1</v>
      </c>
      <c r="J566" s="216">
        <v>14.5</v>
      </c>
      <c r="K566" s="57">
        <v>1.9</v>
      </c>
      <c r="L566" s="57">
        <f t="shared" si="130"/>
        <v>16.399999999999999</v>
      </c>
      <c r="M566" s="408">
        <v>0.76</v>
      </c>
      <c r="N566" s="408">
        <f t="shared" si="131"/>
        <v>25.931199999999997</v>
      </c>
    </row>
    <row r="567" spans="1:14" s="2" customFormat="1" ht="21.95" customHeight="1">
      <c r="A567" s="22"/>
      <c r="B567" s="22"/>
      <c r="C567" s="22">
        <v>42</v>
      </c>
      <c r="D567" s="329" t="s">
        <v>818</v>
      </c>
      <c r="E567" s="55">
        <v>70</v>
      </c>
      <c r="F567" s="375">
        <v>0.47</v>
      </c>
      <c r="G567" s="24"/>
      <c r="H567" s="55">
        <v>100</v>
      </c>
      <c r="I567" s="22">
        <v>1</v>
      </c>
      <c r="J567" s="216">
        <v>17.05</v>
      </c>
      <c r="K567" s="57">
        <v>2.41</v>
      </c>
      <c r="L567" s="57">
        <f t="shared" si="130"/>
        <v>19.46</v>
      </c>
      <c r="M567" s="408">
        <v>0.76</v>
      </c>
      <c r="N567" s="408">
        <f t="shared" si="131"/>
        <v>25.931199999999997</v>
      </c>
    </row>
    <row r="568" spans="1:14" s="2" customFormat="1" ht="21.95" customHeight="1">
      <c r="A568" s="22"/>
      <c r="B568" s="22"/>
      <c r="C568" s="22">
        <v>43</v>
      </c>
      <c r="D568" s="329" t="s">
        <v>819</v>
      </c>
      <c r="E568" s="55">
        <v>70</v>
      </c>
      <c r="F568" s="56">
        <v>1.1000000000000001</v>
      </c>
      <c r="G568" s="24"/>
      <c r="H568" s="55">
        <v>100</v>
      </c>
      <c r="I568" s="22">
        <v>1</v>
      </c>
      <c r="J568" s="216">
        <v>26.5</v>
      </c>
      <c r="K568" s="57">
        <v>4.3</v>
      </c>
      <c r="L568" s="57">
        <f t="shared" si="130"/>
        <v>30.8</v>
      </c>
      <c r="M568" s="408">
        <v>0.76</v>
      </c>
      <c r="N568" s="408">
        <f t="shared" si="131"/>
        <v>25.931199999999997</v>
      </c>
    </row>
    <row r="569" spans="1:14" s="2" customFormat="1" ht="21.95" customHeight="1">
      <c r="A569" s="22"/>
      <c r="B569" s="22"/>
      <c r="C569" s="22">
        <v>44</v>
      </c>
      <c r="D569" s="376" t="s">
        <v>820</v>
      </c>
      <c r="E569" s="55">
        <v>32</v>
      </c>
      <c r="F569" s="216">
        <v>0.66</v>
      </c>
      <c r="G569" s="24"/>
      <c r="H569" s="55">
        <v>50</v>
      </c>
      <c r="I569" s="22">
        <v>1</v>
      </c>
      <c r="J569" s="216">
        <v>18.899999999999999</v>
      </c>
      <c r="K569" s="57">
        <v>2.98</v>
      </c>
      <c r="L569" s="57">
        <f t="shared" si="130"/>
        <v>21.88</v>
      </c>
      <c r="M569" s="408">
        <v>0.56999999999999995</v>
      </c>
      <c r="N569" s="408">
        <f t="shared" si="131"/>
        <v>19.448399999999996</v>
      </c>
    </row>
    <row r="570" spans="1:14" s="2" customFormat="1" ht="21.95" customHeight="1">
      <c r="A570" s="22"/>
      <c r="B570" s="22"/>
      <c r="C570" s="22">
        <v>45</v>
      </c>
      <c r="D570" s="376" t="s">
        <v>821</v>
      </c>
      <c r="E570" s="55">
        <v>30</v>
      </c>
      <c r="F570" s="216">
        <v>0.23</v>
      </c>
      <c r="G570" s="24"/>
      <c r="H570" s="55">
        <v>50</v>
      </c>
      <c r="I570" s="22">
        <v>1</v>
      </c>
      <c r="J570" s="216">
        <v>12.45</v>
      </c>
      <c r="K570" s="57">
        <v>1.69</v>
      </c>
      <c r="L570" s="57">
        <f t="shared" si="130"/>
        <v>14.139999999999999</v>
      </c>
      <c r="M570" s="408">
        <v>0.56999999999999995</v>
      </c>
      <c r="N570" s="408">
        <f t="shared" si="131"/>
        <v>19.448399999999996</v>
      </c>
    </row>
    <row r="571" spans="1:14" s="2" customFormat="1" ht="21.95" customHeight="1">
      <c r="A571" s="22"/>
      <c r="B571" s="22"/>
      <c r="C571" s="22">
        <v>46</v>
      </c>
      <c r="D571" s="376" t="s">
        <v>822</v>
      </c>
      <c r="E571" s="55">
        <v>110</v>
      </c>
      <c r="F571" s="216">
        <v>0.21</v>
      </c>
      <c r="G571" s="24"/>
      <c r="H571" s="55">
        <v>100</v>
      </c>
      <c r="I571" s="22">
        <v>1</v>
      </c>
      <c r="J571" s="216">
        <v>13.15</v>
      </c>
      <c r="K571" s="57">
        <v>1.63</v>
      </c>
      <c r="L571" s="57">
        <f t="shared" si="130"/>
        <v>14.780000000000001</v>
      </c>
      <c r="M571" s="408">
        <v>0.76</v>
      </c>
      <c r="N571" s="408">
        <f t="shared" si="131"/>
        <v>25.931199999999997</v>
      </c>
    </row>
    <row r="572" spans="1:14" s="2" customFormat="1" ht="21.95" customHeight="1">
      <c r="A572" s="22"/>
      <c r="B572" s="22"/>
      <c r="C572" s="22">
        <v>47</v>
      </c>
      <c r="D572" s="329" t="s">
        <v>823</v>
      </c>
      <c r="E572" s="55">
        <v>52</v>
      </c>
      <c r="F572" s="213">
        <v>0.38</v>
      </c>
      <c r="G572" s="24"/>
      <c r="H572" s="55">
        <v>50</v>
      </c>
      <c r="I572" s="22">
        <v>1</v>
      </c>
      <c r="J572" s="216">
        <v>14.7</v>
      </c>
      <c r="K572" s="57">
        <v>2.14</v>
      </c>
      <c r="L572" s="57">
        <f t="shared" si="130"/>
        <v>16.84</v>
      </c>
      <c r="M572" s="408">
        <v>0.56999999999999995</v>
      </c>
      <c r="N572" s="408">
        <f t="shared" si="131"/>
        <v>19.448399999999996</v>
      </c>
    </row>
    <row r="573" spans="1:14" s="2" customFormat="1" ht="21.95" customHeight="1">
      <c r="A573" s="29"/>
      <c r="B573" s="29"/>
      <c r="C573" s="29">
        <v>48</v>
      </c>
      <c r="D573" s="377" t="s">
        <v>824</v>
      </c>
      <c r="E573" s="59">
        <v>48</v>
      </c>
      <c r="F573" s="214">
        <v>0.47</v>
      </c>
      <c r="G573" s="31"/>
      <c r="H573" s="59">
        <v>100</v>
      </c>
      <c r="I573" s="29">
        <v>1</v>
      </c>
      <c r="J573" s="217">
        <v>17.05</v>
      </c>
      <c r="K573" s="60">
        <v>2.41</v>
      </c>
      <c r="L573" s="60">
        <f t="shared" si="130"/>
        <v>19.46</v>
      </c>
      <c r="M573" s="409">
        <v>0.76</v>
      </c>
      <c r="N573" s="409">
        <f t="shared" si="131"/>
        <v>25.931199999999997</v>
      </c>
    </row>
    <row r="574" spans="1:14" s="2" customFormat="1">
      <c r="A574" s="645" t="s">
        <v>786</v>
      </c>
      <c r="B574" s="645"/>
      <c r="C574" s="645"/>
      <c r="D574" s="645"/>
      <c r="E574" s="645"/>
      <c r="F574" s="645"/>
      <c r="G574" s="645"/>
      <c r="H574" s="645"/>
      <c r="I574" s="645"/>
      <c r="J574" s="645"/>
      <c r="K574" s="645"/>
      <c r="L574" s="645"/>
      <c r="M574" s="378"/>
      <c r="N574" s="378"/>
    </row>
    <row r="575" spans="1:14" s="5" customFormat="1" ht="27.75" customHeight="1">
      <c r="A575" s="654" t="s">
        <v>1</v>
      </c>
      <c r="B575" s="632" t="s">
        <v>755</v>
      </c>
      <c r="C575" s="646" t="s">
        <v>21</v>
      </c>
      <c r="D575" s="647"/>
      <c r="E575" s="652" t="s">
        <v>756</v>
      </c>
      <c r="F575" s="654" t="s">
        <v>3</v>
      </c>
      <c r="G575" s="654"/>
      <c r="H575" s="654"/>
      <c r="I575" s="654"/>
      <c r="J575" s="654" t="s">
        <v>761</v>
      </c>
      <c r="K575" s="654"/>
      <c r="L575" s="654"/>
      <c r="M575" s="644" t="s">
        <v>857</v>
      </c>
      <c r="N575" s="644"/>
    </row>
    <row r="576" spans="1:14" s="5" customFormat="1" ht="40.5" customHeight="1">
      <c r="A576" s="654"/>
      <c r="B576" s="633"/>
      <c r="C576" s="648"/>
      <c r="D576" s="649"/>
      <c r="E576" s="652"/>
      <c r="F576" s="652" t="s">
        <v>757</v>
      </c>
      <c r="G576" s="652" t="s">
        <v>5</v>
      </c>
      <c r="H576" s="652" t="s">
        <v>6</v>
      </c>
      <c r="I576" s="652"/>
      <c r="J576" s="652" t="s">
        <v>22</v>
      </c>
      <c r="K576" s="652" t="s">
        <v>762</v>
      </c>
      <c r="L576" s="654" t="s">
        <v>8</v>
      </c>
      <c r="M576" s="644"/>
      <c r="N576" s="644"/>
    </row>
    <row r="577" spans="1:16" s="5" customFormat="1" ht="58.5" customHeight="1">
      <c r="A577" s="632"/>
      <c r="B577" s="634"/>
      <c r="C577" s="650"/>
      <c r="D577" s="651"/>
      <c r="E577" s="653"/>
      <c r="F577" s="653"/>
      <c r="G577" s="653"/>
      <c r="H577" s="381" t="s">
        <v>9</v>
      </c>
      <c r="I577" s="381" t="s">
        <v>10</v>
      </c>
      <c r="J577" s="653"/>
      <c r="K577" s="632"/>
      <c r="L577" s="632"/>
      <c r="M577" s="439" t="s">
        <v>753</v>
      </c>
      <c r="N577" s="440" t="s">
        <v>754</v>
      </c>
    </row>
    <row r="578" spans="1:16" s="2" customFormat="1" ht="21.95" customHeight="1">
      <c r="A578" s="15">
        <v>6</v>
      </c>
      <c r="B578" s="35" t="s">
        <v>15</v>
      </c>
      <c r="C578" s="15">
        <v>49</v>
      </c>
      <c r="D578" s="328" t="s">
        <v>825</v>
      </c>
      <c r="E578" s="52">
        <v>23</v>
      </c>
      <c r="F578" s="212">
        <v>0.38</v>
      </c>
      <c r="G578" s="18"/>
      <c r="H578" s="52">
        <v>50</v>
      </c>
      <c r="I578" s="15">
        <v>1</v>
      </c>
      <c r="J578" s="53">
        <v>14.7</v>
      </c>
      <c r="K578" s="53">
        <v>2.14</v>
      </c>
      <c r="L578" s="53">
        <f>J578+K578</f>
        <v>16.84</v>
      </c>
      <c r="M578" s="441">
        <v>0.56999999999999995</v>
      </c>
      <c r="N578" s="441">
        <f t="shared" ref="N578:N581" si="132">M578*34.12</f>
        <v>19.448399999999996</v>
      </c>
    </row>
    <row r="579" spans="1:16" s="2" customFormat="1" ht="21.95" customHeight="1">
      <c r="A579" s="22"/>
      <c r="B579" s="54" t="s">
        <v>853</v>
      </c>
      <c r="C579" s="22">
        <v>50</v>
      </c>
      <c r="D579" s="329" t="s">
        <v>215</v>
      </c>
      <c r="E579" s="55">
        <v>46</v>
      </c>
      <c r="F579" s="375">
        <v>0.95</v>
      </c>
      <c r="G579" s="24"/>
      <c r="H579" s="55">
        <v>50</v>
      </c>
      <c r="I579" s="22">
        <v>1</v>
      </c>
      <c r="J579" s="57">
        <v>23.25</v>
      </c>
      <c r="K579" s="57">
        <v>3.85</v>
      </c>
      <c r="L579" s="57">
        <f>J579+K579</f>
        <v>27.1</v>
      </c>
      <c r="M579" s="408">
        <v>0.56999999999999995</v>
      </c>
      <c r="N579" s="408">
        <f t="shared" si="132"/>
        <v>19.448399999999996</v>
      </c>
    </row>
    <row r="580" spans="1:16" s="2" customFormat="1" ht="21.95" customHeight="1">
      <c r="A580" s="22"/>
      <c r="B580" s="22"/>
      <c r="C580" s="22">
        <v>51</v>
      </c>
      <c r="D580" s="329" t="s">
        <v>217</v>
      </c>
      <c r="E580" s="55">
        <v>32</v>
      </c>
      <c r="F580" s="213">
        <v>0.78</v>
      </c>
      <c r="G580" s="24"/>
      <c r="H580" s="55">
        <v>50</v>
      </c>
      <c r="I580" s="22">
        <v>1</v>
      </c>
      <c r="J580" s="57">
        <v>20.7</v>
      </c>
      <c r="K580" s="57">
        <v>3.34</v>
      </c>
      <c r="L580" s="57">
        <f>J580+K580</f>
        <v>24.04</v>
      </c>
      <c r="M580" s="408">
        <v>0.56999999999999995</v>
      </c>
      <c r="N580" s="408">
        <f t="shared" si="132"/>
        <v>19.448399999999996</v>
      </c>
    </row>
    <row r="581" spans="1:16" s="2" customFormat="1" ht="21.95" customHeight="1">
      <c r="A581" s="29"/>
      <c r="B581" s="29"/>
      <c r="C581" s="29">
        <v>52</v>
      </c>
      <c r="D581" s="377" t="s">
        <v>826</v>
      </c>
      <c r="E581" s="59">
        <v>40</v>
      </c>
      <c r="F581" s="214">
        <v>0.23</v>
      </c>
      <c r="G581" s="31"/>
      <c r="H581" s="59">
        <v>50</v>
      </c>
      <c r="I581" s="29">
        <v>1</v>
      </c>
      <c r="J581" s="60">
        <v>12.45</v>
      </c>
      <c r="K581" s="60">
        <v>1.69</v>
      </c>
      <c r="L581" s="60">
        <f>J581+K581</f>
        <v>14.139999999999999</v>
      </c>
      <c r="M581" s="409">
        <v>0.56999999999999995</v>
      </c>
      <c r="N581" s="409">
        <f t="shared" si="132"/>
        <v>19.448399999999996</v>
      </c>
    </row>
    <row r="582" spans="1:16" s="11" customFormat="1" ht="21.95" customHeight="1">
      <c r="A582" s="186"/>
      <c r="B582" s="186" t="s">
        <v>759</v>
      </c>
      <c r="C582" s="186"/>
      <c r="D582" s="187" t="s">
        <v>858</v>
      </c>
      <c r="E582" s="412">
        <f>SUM(E518:E581)</f>
        <v>4216</v>
      </c>
      <c r="F582" s="413">
        <f>SUM(F518:F581)</f>
        <v>31.160000000000004</v>
      </c>
      <c r="G582" s="38"/>
      <c r="H582" s="412">
        <v>4500</v>
      </c>
      <c r="I582" s="36">
        <v>53</v>
      </c>
      <c r="J582" s="62">
        <f>SUM(J518:J581)</f>
        <v>980.4000000000002</v>
      </c>
      <c r="K582" s="62">
        <f>SUM(K518:K581)</f>
        <v>146.47999999999999</v>
      </c>
      <c r="L582" s="50">
        <f>SUM(L518:L581)</f>
        <v>1126.8799999999999</v>
      </c>
      <c r="M582" s="379">
        <f t="shared" ref="M582:N582" si="133">SUM(M518:M581)</f>
        <v>36.29000000000002</v>
      </c>
      <c r="N582" s="379">
        <f t="shared" si="133"/>
        <v>1238.2147999999997</v>
      </c>
      <c r="P582" s="11">
        <f>52+78</f>
        <v>130</v>
      </c>
    </row>
    <row r="583" spans="1:16" s="2" customFormat="1" ht="21.95" customHeight="1">
      <c r="A583" s="186"/>
      <c r="B583" s="186" t="s">
        <v>759</v>
      </c>
      <c r="C583" s="186"/>
      <c r="D583" s="187" t="s">
        <v>859</v>
      </c>
      <c r="E583" s="39">
        <f>E582+E494</f>
        <v>12366</v>
      </c>
      <c r="F583" s="111">
        <f>F582+F494</f>
        <v>111.25999999999999</v>
      </c>
      <c r="G583" s="39"/>
      <c r="H583" s="39">
        <f t="shared" ref="H583:N583" si="134">H582+H494</f>
        <v>8600</v>
      </c>
      <c r="I583" s="39">
        <f t="shared" si="134"/>
        <v>207</v>
      </c>
      <c r="J583" s="112">
        <f t="shared" si="134"/>
        <v>3575.9</v>
      </c>
      <c r="K583" s="112">
        <f t="shared" si="134"/>
        <v>540.77999999999986</v>
      </c>
      <c r="L583" s="112">
        <f t="shared" si="134"/>
        <v>4116.68</v>
      </c>
      <c r="M583" s="380">
        <f t="shared" si="134"/>
        <v>81.510000000000048</v>
      </c>
      <c r="N583" s="380">
        <f t="shared" si="134"/>
        <v>2781.1211999999996</v>
      </c>
    </row>
    <row r="593" spans="1:18" s="5" customFormat="1" ht="18">
      <c r="A593" s="691" t="s">
        <v>420</v>
      </c>
      <c r="B593" s="691"/>
      <c r="C593" s="691"/>
      <c r="D593" s="691"/>
      <c r="E593" s="691"/>
      <c r="F593" s="691"/>
      <c r="G593" s="691"/>
      <c r="H593" s="691"/>
      <c r="I593" s="691"/>
      <c r="J593" s="691"/>
      <c r="K593" s="691"/>
      <c r="L593" s="691"/>
      <c r="M593" s="430"/>
      <c r="N593" s="430"/>
      <c r="O593" s="148"/>
      <c r="Q593" s="3"/>
      <c r="R593" s="4"/>
    </row>
    <row r="594" spans="1:18" s="5" customFormat="1" ht="18">
      <c r="A594" s="714" t="s">
        <v>1</v>
      </c>
      <c r="B594" s="6"/>
      <c r="C594" s="6"/>
      <c r="D594" s="714" t="s">
        <v>21</v>
      </c>
      <c r="E594" s="713" t="s">
        <v>2</v>
      </c>
      <c r="F594" s="714" t="s">
        <v>3</v>
      </c>
      <c r="G594" s="714"/>
      <c r="H594" s="714"/>
      <c r="I594" s="714"/>
      <c r="J594" s="714" t="s">
        <v>65</v>
      </c>
      <c r="K594" s="714"/>
      <c r="L594" s="714"/>
      <c r="M594" s="443"/>
      <c r="N594" s="430"/>
      <c r="O594" s="3"/>
      <c r="P594" s="4"/>
    </row>
    <row r="595" spans="1:18" s="5" customFormat="1" ht="21" customHeight="1">
      <c r="A595" s="714"/>
      <c r="B595" s="6"/>
      <c r="C595" s="6"/>
      <c r="D595" s="714"/>
      <c r="E595" s="713"/>
      <c r="F595" s="713" t="s">
        <v>4</v>
      </c>
      <c r="G595" s="713" t="s">
        <v>5</v>
      </c>
      <c r="H595" s="713" t="s">
        <v>66</v>
      </c>
      <c r="I595" s="713"/>
      <c r="J595" s="713" t="s">
        <v>22</v>
      </c>
      <c r="K595" s="714" t="s">
        <v>7</v>
      </c>
      <c r="L595" s="714" t="s">
        <v>8</v>
      </c>
      <c r="M595" s="443"/>
      <c r="N595" s="430"/>
      <c r="O595" s="3"/>
      <c r="P595" s="4"/>
    </row>
    <row r="596" spans="1:18" s="5" customFormat="1" ht="18">
      <c r="A596" s="714"/>
      <c r="B596" s="6"/>
      <c r="C596" s="6"/>
      <c r="D596" s="714"/>
      <c r="E596" s="713"/>
      <c r="F596" s="713"/>
      <c r="G596" s="713"/>
      <c r="H596" s="6" t="s">
        <v>9</v>
      </c>
      <c r="I596" s="6" t="s">
        <v>10</v>
      </c>
      <c r="J596" s="713"/>
      <c r="K596" s="714"/>
      <c r="L596" s="714"/>
      <c r="M596" s="443"/>
      <c r="N596" s="430"/>
      <c r="O596" s="3"/>
      <c r="P596" s="4"/>
    </row>
    <row r="597" spans="1:18" ht="18">
      <c r="A597" s="156">
        <v>1</v>
      </c>
      <c r="B597" s="156"/>
      <c r="C597" s="156"/>
      <c r="D597" s="152" t="s">
        <v>421</v>
      </c>
      <c r="E597" s="137">
        <v>69</v>
      </c>
      <c r="F597" s="153">
        <v>0.9</v>
      </c>
      <c r="G597" s="196"/>
      <c r="H597" s="137">
        <v>50</v>
      </c>
      <c r="I597" s="197">
        <v>1</v>
      </c>
      <c r="J597" s="136">
        <f>F597*15+9</f>
        <v>22.5</v>
      </c>
      <c r="K597" s="136">
        <f>F597*3+1</f>
        <v>3.7</v>
      </c>
      <c r="L597" s="157">
        <f>K597+J597</f>
        <v>26.2</v>
      </c>
    </row>
    <row r="598" spans="1:18" ht="18">
      <c r="A598" s="158">
        <v>2</v>
      </c>
      <c r="B598" s="158"/>
      <c r="C598" s="158"/>
      <c r="D598" s="154" t="s">
        <v>422</v>
      </c>
      <c r="E598" s="159">
        <v>115</v>
      </c>
      <c r="F598" s="155">
        <v>0.9</v>
      </c>
      <c r="G598" s="198"/>
      <c r="H598" s="159">
        <v>100</v>
      </c>
      <c r="I598" s="199">
        <v>1</v>
      </c>
      <c r="J598" s="160">
        <f>F598*15+10</f>
        <v>23.5</v>
      </c>
      <c r="K598" s="160">
        <f>F598*3+1</f>
        <v>3.7</v>
      </c>
      <c r="L598" s="161">
        <f>K598+J598</f>
        <v>27.2</v>
      </c>
    </row>
    <row r="599" spans="1:18" ht="18">
      <c r="A599" s="158">
        <v>3</v>
      </c>
      <c r="B599" s="158"/>
      <c r="C599" s="158"/>
      <c r="D599" s="162" t="s">
        <v>423</v>
      </c>
      <c r="E599" s="158">
        <v>75</v>
      </c>
      <c r="F599" s="163">
        <v>1.1000000000000001</v>
      </c>
      <c r="G599" s="198"/>
      <c r="H599" s="158">
        <v>100</v>
      </c>
      <c r="I599" s="199">
        <v>1</v>
      </c>
      <c r="J599" s="160">
        <f>F599*15+10</f>
        <v>26.5</v>
      </c>
      <c r="K599" s="160">
        <f t="shared" ref="K599:K601" si="135">F599*3+1</f>
        <v>4.3000000000000007</v>
      </c>
      <c r="L599" s="161">
        <f t="shared" ref="L599:L601" si="136">K599+J599</f>
        <v>30.8</v>
      </c>
    </row>
    <row r="600" spans="1:18" ht="18">
      <c r="A600" s="158">
        <v>4</v>
      </c>
      <c r="B600" s="158"/>
      <c r="C600" s="158"/>
      <c r="D600" s="162" t="s">
        <v>424</v>
      </c>
      <c r="E600" s="158">
        <v>95</v>
      </c>
      <c r="F600" s="163">
        <v>1.3</v>
      </c>
      <c r="G600" s="198"/>
      <c r="H600" s="158">
        <v>100</v>
      </c>
      <c r="I600" s="199">
        <v>1</v>
      </c>
      <c r="J600" s="160">
        <f>F600*15+10</f>
        <v>29.5</v>
      </c>
      <c r="K600" s="160">
        <f t="shared" si="135"/>
        <v>4.9000000000000004</v>
      </c>
      <c r="L600" s="161">
        <f t="shared" si="136"/>
        <v>34.4</v>
      </c>
    </row>
    <row r="601" spans="1:18" ht="18">
      <c r="A601" s="158">
        <v>5</v>
      </c>
      <c r="B601" s="158"/>
      <c r="C601" s="158"/>
      <c r="D601" s="162" t="s">
        <v>425</v>
      </c>
      <c r="E601" s="158">
        <v>78</v>
      </c>
      <c r="F601" s="163">
        <v>1.3</v>
      </c>
      <c r="G601" s="198"/>
      <c r="H601" s="158">
        <v>100</v>
      </c>
      <c r="I601" s="199">
        <v>1</v>
      </c>
      <c r="J601" s="160">
        <f>F601*15+10</f>
        <v>29.5</v>
      </c>
      <c r="K601" s="160">
        <f t="shared" si="135"/>
        <v>4.9000000000000004</v>
      </c>
      <c r="L601" s="161">
        <f t="shared" si="136"/>
        <v>34.4</v>
      </c>
    </row>
    <row r="602" spans="1:18" ht="18">
      <c r="A602" s="158">
        <v>6</v>
      </c>
      <c r="B602" s="158"/>
      <c r="C602" s="158"/>
      <c r="D602" s="162" t="s">
        <v>426</v>
      </c>
      <c r="E602" s="158">
        <v>36</v>
      </c>
      <c r="F602" s="163">
        <v>0.8</v>
      </c>
      <c r="G602" s="198"/>
      <c r="H602" s="158">
        <v>50</v>
      </c>
      <c r="I602" s="199">
        <v>1</v>
      </c>
      <c r="J602" s="160">
        <f>F602*15+9</f>
        <v>21</v>
      </c>
      <c r="K602" s="160">
        <f>F602*3+1</f>
        <v>3.4000000000000004</v>
      </c>
      <c r="L602" s="161">
        <f>K602+J602</f>
        <v>24.4</v>
      </c>
    </row>
    <row r="603" spans="1:18" ht="18">
      <c r="A603" s="158">
        <v>7</v>
      </c>
      <c r="B603" s="158"/>
      <c r="C603" s="158"/>
      <c r="D603" s="162" t="s">
        <v>397</v>
      </c>
      <c r="E603" s="158">
        <v>96</v>
      </c>
      <c r="F603" s="163">
        <v>1</v>
      </c>
      <c r="G603" s="198"/>
      <c r="H603" s="158">
        <v>100</v>
      </c>
      <c r="I603" s="199">
        <v>1</v>
      </c>
      <c r="J603" s="160">
        <f>F603*15+10</f>
        <v>25</v>
      </c>
      <c r="K603" s="160">
        <f>F603*3+1</f>
        <v>4</v>
      </c>
      <c r="L603" s="161">
        <f>K603+J603</f>
        <v>29</v>
      </c>
    </row>
    <row r="604" spans="1:18" ht="18">
      <c r="A604" s="158">
        <v>8</v>
      </c>
      <c r="B604" s="158"/>
      <c r="C604" s="158"/>
      <c r="D604" s="162" t="s">
        <v>256</v>
      </c>
      <c r="E604" s="158">
        <v>167</v>
      </c>
      <c r="F604" s="163">
        <v>0.9</v>
      </c>
      <c r="G604" s="198"/>
      <c r="H604" s="158">
        <v>200</v>
      </c>
      <c r="I604" s="199">
        <v>1</v>
      </c>
      <c r="J604" s="160">
        <f>F604*15+11.5</f>
        <v>25</v>
      </c>
      <c r="K604" s="160">
        <f>F604*3+1</f>
        <v>3.7</v>
      </c>
      <c r="L604" s="161">
        <f>K604+J604</f>
        <v>28.7</v>
      </c>
    </row>
    <row r="605" spans="1:18" ht="18">
      <c r="A605" s="158">
        <v>9</v>
      </c>
      <c r="B605" s="158"/>
      <c r="C605" s="158"/>
      <c r="D605" s="162" t="s">
        <v>427</v>
      </c>
      <c r="E605" s="158">
        <v>99</v>
      </c>
      <c r="F605" s="163">
        <v>0.5</v>
      </c>
      <c r="G605" s="198"/>
      <c r="H605" s="158">
        <v>100</v>
      </c>
      <c r="I605" s="199">
        <v>1</v>
      </c>
      <c r="J605" s="160">
        <f>F605*15+10</f>
        <v>17.5</v>
      </c>
      <c r="K605" s="160">
        <f t="shared" ref="K605:K606" si="137">F605*3+1</f>
        <v>2.5</v>
      </c>
      <c r="L605" s="161">
        <f t="shared" ref="L605:L606" si="138">K605+J605</f>
        <v>20</v>
      </c>
    </row>
    <row r="606" spans="1:18" ht="18">
      <c r="A606" s="158">
        <v>10</v>
      </c>
      <c r="B606" s="158"/>
      <c r="C606" s="158"/>
      <c r="D606" s="162" t="s">
        <v>428</v>
      </c>
      <c r="E606" s="158">
        <v>73</v>
      </c>
      <c r="F606" s="163">
        <v>0.3</v>
      </c>
      <c r="G606" s="198"/>
      <c r="H606" s="158">
        <v>100</v>
      </c>
      <c r="I606" s="199">
        <v>1</v>
      </c>
      <c r="J606" s="160">
        <f>F606*15+10</f>
        <v>14.5</v>
      </c>
      <c r="K606" s="160">
        <f t="shared" si="137"/>
        <v>1.9</v>
      </c>
      <c r="L606" s="161">
        <f t="shared" si="138"/>
        <v>16.399999999999999</v>
      </c>
    </row>
    <row r="607" spans="1:18" ht="18">
      <c r="A607" s="158">
        <v>11</v>
      </c>
      <c r="B607" s="158"/>
      <c r="C607" s="158"/>
      <c r="D607" s="162" t="s">
        <v>429</v>
      </c>
      <c r="E607" s="158">
        <v>39</v>
      </c>
      <c r="F607" s="163">
        <v>0.7</v>
      </c>
      <c r="G607" s="198"/>
      <c r="H607" s="158">
        <v>50</v>
      </c>
      <c r="I607" s="199">
        <v>1</v>
      </c>
      <c r="J607" s="160">
        <f>F607*15+9</f>
        <v>19.5</v>
      </c>
      <c r="K607" s="160">
        <f>F607*3+1</f>
        <v>3.0999999999999996</v>
      </c>
      <c r="L607" s="161">
        <f>K607+J607</f>
        <v>22.6</v>
      </c>
    </row>
    <row r="608" spans="1:18" ht="18">
      <c r="A608" s="158">
        <v>12</v>
      </c>
      <c r="B608" s="158"/>
      <c r="C608" s="158"/>
      <c r="D608" s="162" t="s">
        <v>430</v>
      </c>
      <c r="E608" s="158">
        <v>83</v>
      </c>
      <c r="F608" s="163">
        <v>0.5</v>
      </c>
      <c r="G608" s="198"/>
      <c r="H608" s="158">
        <v>100</v>
      </c>
      <c r="I608" s="199">
        <v>1</v>
      </c>
      <c r="J608" s="160">
        <f>F608*15+10</f>
        <v>17.5</v>
      </c>
      <c r="K608" s="160">
        <f t="shared" ref="K608:K609" si="139">F608*3+1</f>
        <v>2.5</v>
      </c>
      <c r="L608" s="161">
        <f t="shared" ref="L608:L609" si="140">K608+J608</f>
        <v>20</v>
      </c>
    </row>
    <row r="609" spans="1:12" ht="18">
      <c r="A609" s="158">
        <v>13</v>
      </c>
      <c r="B609" s="158"/>
      <c r="C609" s="158"/>
      <c r="D609" s="162" t="s">
        <v>397</v>
      </c>
      <c r="E609" s="158">
        <v>30</v>
      </c>
      <c r="F609" s="163">
        <v>1.4</v>
      </c>
      <c r="G609" s="198"/>
      <c r="H609" s="158">
        <v>100</v>
      </c>
      <c r="I609" s="199">
        <v>1</v>
      </c>
      <c r="J609" s="160">
        <f>F609*15+10</f>
        <v>31</v>
      </c>
      <c r="K609" s="160">
        <f t="shared" si="139"/>
        <v>5.1999999999999993</v>
      </c>
      <c r="L609" s="161">
        <f t="shared" si="140"/>
        <v>36.200000000000003</v>
      </c>
    </row>
    <row r="610" spans="1:12" ht="18">
      <c r="A610" s="158">
        <v>14</v>
      </c>
      <c r="B610" s="158"/>
      <c r="C610" s="158"/>
      <c r="D610" s="154" t="s">
        <v>431</v>
      </c>
      <c r="E610" s="159">
        <v>27</v>
      </c>
      <c r="F610" s="155">
        <v>0.3</v>
      </c>
      <c r="G610" s="198"/>
      <c r="H610" s="159">
        <v>50</v>
      </c>
      <c r="I610" s="199">
        <v>1</v>
      </c>
      <c r="J610" s="160">
        <f>F610*15+9</f>
        <v>13.5</v>
      </c>
      <c r="K610" s="160">
        <f>F610*3+1</f>
        <v>1.9</v>
      </c>
      <c r="L610" s="161">
        <f>K610+J610</f>
        <v>15.4</v>
      </c>
    </row>
    <row r="611" spans="1:12" ht="18">
      <c r="A611" s="158">
        <v>15</v>
      </c>
      <c r="B611" s="158"/>
      <c r="C611" s="158"/>
      <c r="D611" s="162" t="s">
        <v>432</v>
      </c>
      <c r="E611" s="158">
        <v>42</v>
      </c>
      <c r="F611" s="715">
        <v>1.3</v>
      </c>
      <c r="G611" s="198"/>
      <c r="H611" s="716">
        <v>50</v>
      </c>
      <c r="I611" s="717">
        <v>1</v>
      </c>
      <c r="J611" s="718">
        <f>F611*15+9</f>
        <v>28.5</v>
      </c>
      <c r="K611" s="718">
        <f>F611*3+1</f>
        <v>4.9000000000000004</v>
      </c>
      <c r="L611" s="719">
        <f>K611+J611</f>
        <v>33.4</v>
      </c>
    </row>
    <row r="612" spans="1:12" ht="18">
      <c r="A612" s="158">
        <v>16</v>
      </c>
      <c r="B612" s="158"/>
      <c r="C612" s="158"/>
      <c r="D612" s="162" t="s">
        <v>433</v>
      </c>
      <c r="E612" s="158">
        <v>14</v>
      </c>
      <c r="F612" s="715"/>
      <c r="G612" s="198"/>
      <c r="H612" s="716"/>
      <c r="I612" s="717"/>
      <c r="J612" s="718"/>
      <c r="K612" s="718"/>
      <c r="L612" s="719"/>
    </row>
    <row r="613" spans="1:12" ht="18">
      <c r="A613" s="158">
        <v>17</v>
      </c>
      <c r="B613" s="158"/>
      <c r="C613" s="158"/>
      <c r="D613" s="162" t="s">
        <v>434</v>
      </c>
      <c r="E613" s="158">
        <v>20</v>
      </c>
      <c r="F613" s="163">
        <v>0.9</v>
      </c>
      <c r="G613" s="198"/>
      <c r="H613" s="158">
        <v>50</v>
      </c>
      <c r="I613" s="199">
        <v>1</v>
      </c>
      <c r="J613" s="160">
        <f>F613*15+9</f>
        <v>22.5</v>
      </c>
      <c r="K613" s="160">
        <f t="shared" ref="K613:K615" si="141">F613*3+1</f>
        <v>3.7</v>
      </c>
      <c r="L613" s="161">
        <f t="shared" ref="L613:L615" si="142">K613+J613</f>
        <v>26.2</v>
      </c>
    </row>
    <row r="614" spans="1:12" ht="18">
      <c r="A614" s="158">
        <v>18</v>
      </c>
      <c r="B614" s="158"/>
      <c r="C614" s="158"/>
      <c r="D614" s="162" t="s">
        <v>435</v>
      </c>
      <c r="E614" s="158">
        <v>57</v>
      </c>
      <c r="F614" s="163">
        <v>0.2</v>
      </c>
      <c r="G614" s="198"/>
      <c r="H614" s="158">
        <v>50</v>
      </c>
      <c r="I614" s="199">
        <v>1</v>
      </c>
      <c r="J614" s="160">
        <f>F614*15+9</f>
        <v>12</v>
      </c>
      <c r="K614" s="160">
        <f t="shared" si="141"/>
        <v>1.6</v>
      </c>
      <c r="L614" s="161">
        <f t="shared" si="142"/>
        <v>13.6</v>
      </c>
    </row>
    <row r="615" spans="1:12" ht="18">
      <c r="A615" s="158">
        <v>19</v>
      </c>
      <c r="B615" s="158"/>
      <c r="C615" s="158"/>
      <c r="D615" s="162" t="s">
        <v>436</v>
      </c>
      <c r="E615" s="158">
        <v>50</v>
      </c>
      <c r="F615" s="163">
        <v>0.7</v>
      </c>
      <c r="G615" s="198"/>
      <c r="H615" s="158">
        <v>50</v>
      </c>
      <c r="I615" s="199">
        <v>1</v>
      </c>
      <c r="J615" s="160">
        <f>F615*15+9</f>
        <v>19.5</v>
      </c>
      <c r="K615" s="160">
        <f t="shared" si="141"/>
        <v>3.0999999999999996</v>
      </c>
      <c r="L615" s="161">
        <f t="shared" si="142"/>
        <v>22.6</v>
      </c>
    </row>
    <row r="616" spans="1:12" ht="18">
      <c r="A616" s="158">
        <v>20</v>
      </c>
      <c r="B616" s="158"/>
      <c r="C616" s="158"/>
      <c r="D616" s="162" t="s">
        <v>437</v>
      </c>
      <c r="E616" s="158">
        <v>101</v>
      </c>
      <c r="F616" s="163">
        <v>0.7</v>
      </c>
      <c r="G616" s="198"/>
      <c r="H616" s="158">
        <v>100</v>
      </c>
      <c r="I616" s="159">
        <v>1</v>
      </c>
      <c r="J616" s="160">
        <f t="shared" ref="J616:J617" si="143">E616*3+1</f>
        <v>304</v>
      </c>
      <c r="K616" s="161">
        <f t="shared" ref="K616:K617" si="144">J616+I616</f>
        <v>305</v>
      </c>
      <c r="L616" s="161">
        <f t="shared" ref="L616:L617" si="145">O616</f>
        <v>0</v>
      </c>
    </row>
    <row r="617" spans="1:12" ht="18">
      <c r="A617" s="158">
        <v>21</v>
      </c>
      <c r="B617" s="158"/>
      <c r="C617" s="158"/>
      <c r="D617" s="162" t="s">
        <v>143</v>
      </c>
      <c r="E617" s="158">
        <v>100</v>
      </c>
      <c r="F617" s="163">
        <v>0.4</v>
      </c>
      <c r="G617" s="198"/>
      <c r="H617" s="158">
        <v>100</v>
      </c>
      <c r="I617" s="159">
        <v>1</v>
      </c>
      <c r="J617" s="160">
        <f t="shared" si="143"/>
        <v>301</v>
      </c>
      <c r="K617" s="161">
        <f t="shared" si="144"/>
        <v>302</v>
      </c>
      <c r="L617" s="161">
        <f t="shared" si="145"/>
        <v>0</v>
      </c>
    </row>
    <row r="618" spans="1:12" ht="18">
      <c r="A618" s="164">
        <v>22</v>
      </c>
      <c r="B618" s="164"/>
      <c r="C618" s="164"/>
      <c r="D618" s="165" t="s">
        <v>438</v>
      </c>
      <c r="E618" s="164">
        <v>50</v>
      </c>
      <c r="F618" s="166">
        <v>1.4</v>
      </c>
      <c r="G618" s="200"/>
      <c r="H618" s="164">
        <v>50</v>
      </c>
      <c r="I618" s="201">
        <v>1</v>
      </c>
      <c r="J618" s="167">
        <f>F618*15+9</f>
        <v>30</v>
      </c>
      <c r="K618" s="167">
        <f>F618*3+1</f>
        <v>5.1999999999999993</v>
      </c>
      <c r="L618" s="168">
        <f>K618+J618</f>
        <v>35.200000000000003</v>
      </c>
    </row>
    <row r="619" spans="1:12" ht="18">
      <c r="A619" s="712" t="s">
        <v>439</v>
      </c>
      <c r="B619" s="712"/>
      <c r="C619" s="712"/>
      <c r="D619" s="712"/>
      <c r="E619" s="138">
        <f>SUM(E597:E618)</f>
        <v>1516</v>
      </c>
      <c r="F619" s="139">
        <f>SUM(F597:F618)</f>
        <v>17.499999999999996</v>
      </c>
      <c r="G619" s="202"/>
      <c r="H619" s="138">
        <f>SUM(H597:H618)</f>
        <v>1750</v>
      </c>
      <c r="I619" s="203">
        <f>SUM(I597:I618)</f>
        <v>21</v>
      </c>
      <c r="J619" s="139">
        <f>SUM(J597:J618)</f>
        <v>1033.5</v>
      </c>
      <c r="K619" s="139">
        <f>SUM(K597:K618)</f>
        <v>675.2</v>
      </c>
      <c r="L619" s="139">
        <f>SUM(L597:L618)</f>
        <v>496.7</v>
      </c>
    </row>
  </sheetData>
  <mergeCells count="455">
    <mergeCell ref="A47:L47"/>
    <mergeCell ref="K3:K4"/>
    <mergeCell ref="L3:L4"/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L49:L50"/>
    <mergeCell ref="F54:F55"/>
    <mergeCell ref="G54:G55"/>
    <mergeCell ref="H54:H55"/>
    <mergeCell ref="I54:I55"/>
    <mergeCell ref="J54:J55"/>
    <mergeCell ref="K54:K55"/>
    <mergeCell ref="L54:L55"/>
    <mergeCell ref="A48:A50"/>
    <mergeCell ref="E48:E50"/>
    <mergeCell ref="F48:I48"/>
    <mergeCell ref="J48:L48"/>
    <mergeCell ref="F49:F50"/>
    <mergeCell ref="G49:G50"/>
    <mergeCell ref="H49:I49"/>
    <mergeCell ref="J49:J50"/>
    <mergeCell ref="K49:K50"/>
    <mergeCell ref="G67:G68"/>
    <mergeCell ref="L56:L57"/>
    <mergeCell ref="F59:F60"/>
    <mergeCell ref="G59:G60"/>
    <mergeCell ref="H59:H60"/>
    <mergeCell ref="I59:I60"/>
    <mergeCell ref="J59:J60"/>
    <mergeCell ref="K59:K60"/>
    <mergeCell ref="L59:L60"/>
    <mergeCell ref="F56:F57"/>
    <mergeCell ref="G56:G57"/>
    <mergeCell ref="H56:H57"/>
    <mergeCell ref="I56:I57"/>
    <mergeCell ref="J56:J57"/>
    <mergeCell ref="K56:K57"/>
    <mergeCell ref="G115:G116"/>
    <mergeCell ref="H115:I115"/>
    <mergeCell ref="J115:J116"/>
    <mergeCell ref="K115:K116"/>
    <mergeCell ref="L115:L116"/>
    <mergeCell ref="B114:B116"/>
    <mergeCell ref="C114:D116"/>
    <mergeCell ref="A113:L113"/>
    <mergeCell ref="A114:A116"/>
    <mergeCell ref="E114:E116"/>
    <mergeCell ref="F114:I114"/>
    <mergeCell ref="J114:L114"/>
    <mergeCell ref="F115:F116"/>
    <mergeCell ref="A139:A141"/>
    <mergeCell ref="E139:E141"/>
    <mergeCell ref="F139:I139"/>
    <mergeCell ref="J139:L139"/>
    <mergeCell ref="F140:F141"/>
    <mergeCell ref="G140:G141"/>
    <mergeCell ref="H140:I140"/>
    <mergeCell ref="J140:J141"/>
    <mergeCell ref="K140:K141"/>
    <mergeCell ref="G179:G182"/>
    <mergeCell ref="H179:H182"/>
    <mergeCell ref="I179:I182"/>
    <mergeCell ref="J179:J182"/>
    <mergeCell ref="K179:K182"/>
    <mergeCell ref="L179:L182"/>
    <mergeCell ref="L168:L170"/>
    <mergeCell ref="F171:F178"/>
    <mergeCell ref="G171:G178"/>
    <mergeCell ref="H171:H178"/>
    <mergeCell ref="I171:I178"/>
    <mergeCell ref="J171:J178"/>
    <mergeCell ref="K171:K178"/>
    <mergeCell ref="L171:L178"/>
    <mergeCell ref="F168:F170"/>
    <mergeCell ref="G168:G170"/>
    <mergeCell ref="H168:H170"/>
    <mergeCell ref="I168:I170"/>
    <mergeCell ref="J168:J170"/>
    <mergeCell ref="K168:K170"/>
    <mergeCell ref="F200:F203"/>
    <mergeCell ref="G200:G203"/>
    <mergeCell ref="H200:H203"/>
    <mergeCell ref="I200:I203"/>
    <mergeCell ref="J200:J203"/>
    <mergeCell ref="K200:K203"/>
    <mergeCell ref="J190:J191"/>
    <mergeCell ref="K190:K191"/>
    <mergeCell ref="L190:L191"/>
    <mergeCell ref="F192:F199"/>
    <mergeCell ref="G192:G199"/>
    <mergeCell ref="H192:H199"/>
    <mergeCell ref="I192:I199"/>
    <mergeCell ref="J192:J199"/>
    <mergeCell ref="K192:K199"/>
    <mergeCell ref="L192:L199"/>
    <mergeCell ref="F190:F191"/>
    <mergeCell ref="G190:G191"/>
    <mergeCell ref="H190:I190"/>
    <mergeCell ref="F247:F248"/>
    <mergeCell ref="G247:G248"/>
    <mergeCell ref="H247:H248"/>
    <mergeCell ref="I247:I248"/>
    <mergeCell ref="J247:J248"/>
    <mergeCell ref="J215:J216"/>
    <mergeCell ref="K215:K216"/>
    <mergeCell ref="L215:L216"/>
    <mergeCell ref="A239:L239"/>
    <mergeCell ref="A240:A242"/>
    <mergeCell ref="E240:E242"/>
    <mergeCell ref="F240:I240"/>
    <mergeCell ref="J240:L240"/>
    <mergeCell ref="F241:F242"/>
    <mergeCell ref="A214:A216"/>
    <mergeCell ref="E214:E216"/>
    <mergeCell ref="F214:I214"/>
    <mergeCell ref="J214:L214"/>
    <mergeCell ref="F215:F216"/>
    <mergeCell ref="G215:G216"/>
    <mergeCell ref="H215:I215"/>
    <mergeCell ref="B214:B216"/>
    <mergeCell ref="C214:D216"/>
    <mergeCell ref="E339:E341"/>
    <mergeCell ref="F339:I339"/>
    <mergeCell ref="J339:L339"/>
    <mergeCell ref="K290:K291"/>
    <mergeCell ref="L290:L291"/>
    <mergeCell ref="A313:L313"/>
    <mergeCell ref="A314:A316"/>
    <mergeCell ref="E314:E316"/>
    <mergeCell ref="F314:I314"/>
    <mergeCell ref="J314:L314"/>
    <mergeCell ref="F315:F316"/>
    <mergeCell ref="G315:G316"/>
    <mergeCell ref="A289:A291"/>
    <mergeCell ref="E289:E291"/>
    <mergeCell ref="F289:I289"/>
    <mergeCell ref="J289:L289"/>
    <mergeCell ref="F290:F291"/>
    <mergeCell ref="G290:G291"/>
    <mergeCell ref="H290:I290"/>
    <mergeCell ref="J290:J291"/>
    <mergeCell ref="C301:C302"/>
    <mergeCell ref="K415:K416"/>
    <mergeCell ref="G390:G391"/>
    <mergeCell ref="H390:I390"/>
    <mergeCell ref="J390:J391"/>
    <mergeCell ref="K390:K391"/>
    <mergeCell ref="L390:L391"/>
    <mergeCell ref="A413:L413"/>
    <mergeCell ref="J364:J365"/>
    <mergeCell ref="K364:K365"/>
    <mergeCell ref="L364:L365"/>
    <mergeCell ref="A388:L388"/>
    <mergeCell ref="A389:A391"/>
    <mergeCell ref="E389:E391"/>
    <mergeCell ref="F389:I389"/>
    <mergeCell ref="J389:L389"/>
    <mergeCell ref="F390:F391"/>
    <mergeCell ref="A363:A365"/>
    <mergeCell ref="E363:E365"/>
    <mergeCell ref="F363:I363"/>
    <mergeCell ref="J363:L363"/>
    <mergeCell ref="F364:F365"/>
    <mergeCell ref="G364:G365"/>
    <mergeCell ref="H364:I364"/>
    <mergeCell ref="B363:B365"/>
    <mergeCell ref="L439:L440"/>
    <mergeCell ref="A462:L462"/>
    <mergeCell ref="A463:A465"/>
    <mergeCell ref="E463:E465"/>
    <mergeCell ref="F463:I463"/>
    <mergeCell ref="J463:L463"/>
    <mergeCell ref="F464:F465"/>
    <mergeCell ref="L415:L416"/>
    <mergeCell ref="A437:L437"/>
    <mergeCell ref="A438:A440"/>
    <mergeCell ref="E438:E440"/>
    <mergeCell ref="F438:I438"/>
    <mergeCell ref="J438:L438"/>
    <mergeCell ref="F439:F440"/>
    <mergeCell ref="G439:G440"/>
    <mergeCell ref="H439:I439"/>
    <mergeCell ref="A414:A416"/>
    <mergeCell ref="E414:E416"/>
    <mergeCell ref="F414:I414"/>
    <mergeCell ref="J414:L414"/>
    <mergeCell ref="F415:F416"/>
    <mergeCell ref="G415:G416"/>
    <mergeCell ref="H415:I415"/>
    <mergeCell ref="J415:J416"/>
    <mergeCell ref="E594:E596"/>
    <mergeCell ref="F594:I594"/>
    <mergeCell ref="J594:L594"/>
    <mergeCell ref="F595:F596"/>
    <mergeCell ref="G595:G596"/>
    <mergeCell ref="A488:A490"/>
    <mergeCell ref="E488:E490"/>
    <mergeCell ref="F488:I488"/>
    <mergeCell ref="J488:L488"/>
    <mergeCell ref="F489:F490"/>
    <mergeCell ref="G489:G490"/>
    <mergeCell ref="H489:I489"/>
    <mergeCell ref="J489:J490"/>
    <mergeCell ref="K489:K490"/>
    <mergeCell ref="A574:L574"/>
    <mergeCell ref="A575:A577"/>
    <mergeCell ref="E575:E577"/>
    <mergeCell ref="F575:I575"/>
    <mergeCell ref="J575:L575"/>
    <mergeCell ref="C555:D557"/>
    <mergeCell ref="K536:K537"/>
    <mergeCell ref="L536:L537"/>
    <mergeCell ref="A554:L554"/>
    <mergeCell ref="A555:A557"/>
    <mergeCell ref="A619:D619"/>
    <mergeCell ref="B2:B4"/>
    <mergeCell ref="C2:D4"/>
    <mergeCell ref="M2:N3"/>
    <mergeCell ref="B48:B50"/>
    <mergeCell ref="C48:D50"/>
    <mergeCell ref="M48:N49"/>
    <mergeCell ref="M56:M57"/>
    <mergeCell ref="N56:N57"/>
    <mergeCell ref="M54:M55"/>
    <mergeCell ref="H595:I595"/>
    <mergeCell ref="J595:J596"/>
    <mergeCell ref="K595:K596"/>
    <mergeCell ref="L595:L596"/>
    <mergeCell ref="F611:F612"/>
    <mergeCell ref="H611:H612"/>
    <mergeCell ref="I611:I612"/>
    <mergeCell ref="J611:J612"/>
    <mergeCell ref="K611:K612"/>
    <mergeCell ref="L611:L612"/>
    <mergeCell ref="L489:L490"/>
    <mergeCell ref="A593:L593"/>
    <mergeCell ref="A594:A596"/>
    <mergeCell ref="D594:D596"/>
    <mergeCell ref="A90:A92"/>
    <mergeCell ref="C90:D92"/>
    <mergeCell ref="E90:E92"/>
    <mergeCell ref="F91:F92"/>
    <mergeCell ref="G91:G92"/>
    <mergeCell ref="N54:N55"/>
    <mergeCell ref="M59:M60"/>
    <mergeCell ref="N59:N60"/>
    <mergeCell ref="B66:B68"/>
    <mergeCell ref="C66:D68"/>
    <mergeCell ref="M66:N67"/>
    <mergeCell ref="J91:J92"/>
    <mergeCell ref="K91:K92"/>
    <mergeCell ref="L91:L92"/>
    <mergeCell ref="H67:I67"/>
    <mergeCell ref="J67:J68"/>
    <mergeCell ref="K67:K68"/>
    <mergeCell ref="L67:L68"/>
    <mergeCell ref="A65:L65"/>
    <mergeCell ref="A66:A68"/>
    <mergeCell ref="E66:E68"/>
    <mergeCell ref="F66:I66"/>
    <mergeCell ref="J66:L66"/>
    <mergeCell ref="F67:F68"/>
    <mergeCell ref="M114:N115"/>
    <mergeCell ref="B139:B141"/>
    <mergeCell ref="C139:D141"/>
    <mergeCell ref="M139:N140"/>
    <mergeCell ref="B165:B167"/>
    <mergeCell ref="C165:D167"/>
    <mergeCell ref="M165:N166"/>
    <mergeCell ref="B90:B92"/>
    <mergeCell ref="F90:I90"/>
    <mergeCell ref="J90:L90"/>
    <mergeCell ref="M90:N91"/>
    <mergeCell ref="H91:I91"/>
    <mergeCell ref="H166:I166"/>
    <mergeCell ref="J166:J167"/>
    <mergeCell ref="K166:K167"/>
    <mergeCell ref="L166:L167"/>
    <mergeCell ref="L140:L141"/>
    <mergeCell ref="A164:L164"/>
    <mergeCell ref="A165:A167"/>
    <mergeCell ref="E165:E167"/>
    <mergeCell ref="F165:I165"/>
    <mergeCell ref="J165:L165"/>
    <mergeCell ref="F166:F167"/>
    <mergeCell ref="G166:G167"/>
    <mergeCell ref="B189:B191"/>
    <mergeCell ref="C189:D191"/>
    <mergeCell ref="M189:N190"/>
    <mergeCell ref="M168:M170"/>
    <mergeCell ref="N168:N170"/>
    <mergeCell ref="N171:N178"/>
    <mergeCell ref="M179:M182"/>
    <mergeCell ref="N179:N182"/>
    <mergeCell ref="M184:M187"/>
    <mergeCell ref="N184:N187"/>
    <mergeCell ref="L184:L187"/>
    <mergeCell ref="A188:L188"/>
    <mergeCell ref="A189:A191"/>
    <mergeCell ref="E189:E191"/>
    <mergeCell ref="F189:I189"/>
    <mergeCell ref="J189:L189"/>
    <mergeCell ref="F184:F187"/>
    <mergeCell ref="G184:G187"/>
    <mergeCell ref="H184:H187"/>
    <mergeCell ref="I184:I187"/>
    <mergeCell ref="J184:J187"/>
    <mergeCell ref="K184:K187"/>
    <mergeCell ref="M171:M178"/>
    <mergeCell ref="F179:F182"/>
    <mergeCell ref="M214:N215"/>
    <mergeCell ref="B240:B242"/>
    <mergeCell ref="C240:D242"/>
    <mergeCell ref="M240:N241"/>
    <mergeCell ref="M192:M199"/>
    <mergeCell ref="N192:N199"/>
    <mergeCell ref="M200:M203"/>
    <mergeCell ref="N200:N203"/>
    <mergeCell ref="M205:M207"/>
    <mergeCell ref="N205:N207"/>
    <mergeCell ref="G241:G242"/>
    <mergeCell ref="H241:I241"/>
    <mergeCell ref="J241:J242"/>
    <mergeCell ref="K241:K242"/>
    <mergeCell ref="L241:L242"/>
    <mergeCell ref="A213:L213"/>
    <mergeCell ref="L200:L203"/>
    <mergeCell ref="F205:F207"/>
    <mergeCell ref="G205:G207"/>
    <mergeCell ref="H205:H207"/>
    <mergeCell ref="I205:I207"/>
    <mergeCell ref="J205:J207"/>
    <mergeCell ref="K205:K207"/>
    <mergeCell ref="L205:L207"/>
    <mergeCell ref="M247:M248"/>
    <mergeCell ref="N247:N248"/>
    <mergeCell ref="B264:B266"/>
    <mergeCell ref="C264:D266"/>
    <mergeCell ref="M264:N265"/>
    <mergeCell ref="M301:M302"/>
    <mergeCell ref="N301:N302"/>
    <mergeCell ref="B289:B291"/>
    <mergeCell ref="C289:D291"/>
    <mergeCell ref="M289:N290"/>
    <mergeCell ref="A288:L288"/>
    <mergeCell ref="F265:F266"/>
    <mergeCell ref="G265:G266"/>
    <mergeCell ref="H265:I265"/>
    <mergeCell ref="J265:J266"/>
    <mergeCell ref="K265:K266"/>
    <mergeCell ref="L265:L266"/>
    <mergeCell ref="K247:K248"/>
    <mergeCell ref="L247:L248"/>
    <mergeCell ref="A263:L263"/>
    <mergeCell ref="A264:A266"/>
    <mergeCell ref="E264:E266"/>
    <mergeCell ref="F264:I264"/>
    <mergeCell ref="J264:L264"/>
    <mergeCell ref="C363:D365"/>
    <mergeCell ref="M363:N364"/>
    <mergeCell ref="B389:B391"/>
    <mergeCell ref="C389:D391"/>
    <mergeCell ref="M389:N390"/>
    <mergeCell ref="B314:B316"/>
    <mergeCell ref="C314:D316"/>
    <mergeCell ref="M314:N315"/>
    <mergeCell ref="B339:B341"/>
    <mergeCell ref="C339:D341"/>
    <mergeCell ref="M339:N340"/>
    <mergeCell ref="A362:L362"/>
    <mergeCell ref="F340:F341"/>
    <mergeCell ref="G340:G341"/>
    <mergeCell ref="H340:I340"/>
    <mergeCell ref="J340:J341"/>
    <mergeCell ref="K340:K341"/>
    <mergeCell ref="L340:L341"/>
    <mergeCell ref="H315:I315"/>
    <mergeCell ref="J315:J316"/>
    <mergeCell ref="K315:K316"/>
    <mergeCell ref="L315:L316"/>
    <mergeCell ref="A338:L338"/>
    <mergeCell ref="A339:A341"/>
    <mergeCell ref="M463:N464"/>
    <mergeCell ref="B488:B490"/>
    <mergeCell ref="C488:D490"/>
    <mergeCell ref="M488:N489"/>
    <mergeCell ref="C515:D517"/>
    <mergeCell ref="M515:N516"/>
    <mergeCell ref="C535:D537"/>
    <mergeCell ref="M535:N536"/>
    <mergeCell ref="B414:B416"/>
    <mergeCell ref="C414:D416"/>
    <mergeCell ref="M414:N415"/>
    <mergeCell ref="B438:B440"/>
    <mergeCell ref="C438:D440"/>
    <mergeCell ref="M438:N439"/>
    <mergeCell ref="G464:G465"/>
    <mergeCell ref="H464:I464"/>
    <mergeCell ref="J464:J465"/>
    <mergeCell ref="K464:K465"/>
    <mergeCell ref="L464:L465"/>
    <mergeCell ref="A487:L487"/>
    <mergeCell ref="B463:B465"/>
    <mergeCell ref="C463:D465"/>
    <mergeCell ref="J439:J440"/>
    <mergeCell ref="K439:K440"/>
    <mergeCell ref="M555:N556"/>
    <mergeCell ref="C575:D577"/>
    <mergeCell ref="M575:N576"/>
    <mergeCell ref="F576:F577"/>
    <mergeCell ref="G576:G577"/>
    <mergeCell ref="H576:I576"/>
    <mergeCell ref="J576:J577"/>
    <mergeCell ref="K576:K577"/>
    <mergeCell ref="L576:L577"/>
    <mergeCell ref="E555:E557"/>
    <mergeCell ref="F555:I555"/>
    <mergeCell ref="J555:L555"/>
    <mergeCell ref="F556:F557"/>
    <mergeCell ref="G556:G557"/>
    <mergeCell ref="H556:I556"/>
    <mergeCell ref="J556:J557"/>
    <mergeCell ref="K556:K557"/>
    <mergeCell ref="L556:L557"/>
    <mergeCell ref="A514:L514"/>
    <mergeCell ref="A515:A517"/>
    <mergeCell ref="E515:E517"/>
    <mergeCell ref="F515:I515"/>
    <mergeCell ref="J515:L515"/>
    <mergeCell ref="B575:B577"/>
    <mergeCell ref="B555:B557"/>
    <mergeCell ref="B535:B537"/>
    <mergeCell ref="B515:B517"/>
    <mergeCell ref="F516:F517"/>
    <mergeCell ref="G516:G517"/>
    <mergeCell ref="H516:I516"/>
    <mergeCell ref="J516:J517"/>
    <mergeCell ref="K516:K517"/>
    <mergeCell ref="L516:L517"/>
    <mergeCell ref="A534:L534"/>
    <mergeCell ref="A535:A537"/>
    <mergeCell ref="E535:E537"/>
    <mergeCell ref="F535:I535"/>
    <mergeCell ref="J535:L535"/>
    <mergeCell ref="F536:F537"/>
    <mergeCell ref="G536:G537"/>
    <mergeCell ref="H536:I536"/>
    <mergeCell ref="J536:J537"/>
  </mergeCells>
  <pageMargins left="0.25" right="0" top="0.25" bottom="0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0"/>
  <sheetViews>
    <sheetView topLeftCell="A30" zoomScale="145" zoomScaleNormal="145" workbookViewId="0">
      <selection activeCell="A28" sqref="A28:N43"/>
    </sheetView>
  </sheetViews>
  <sheetFormatPr defaultRowHeight="16.5"/>
  <cols>
    <col min="1" max="1" width="5" style="2" customWidth="1"/>
    <col min="2" max="2" width="12.5703125" style="2" customWidth="1"/>
    <col min="3" max="3" width="5.85546875" style="2" customWidth="1"/>
    <col min="4" max="4" width="19" style="12" customWidth="1"/>
    <col min="5" max="5" width="7.7109375" style="12" customWidth="1"/>
    <col min="6" max="6" width="10" style="13" customWidth="1"/>
    <col min="7" max="7" width="9.42578125" style="13" customWidth="1"/>
    <col min="8" max="9" width="9.85546875" style="13" customWidth="1"/>
    <col min="10" max="10" width="9.85546875" style="12" customWidth="1"/>
    <col min="11" max="12" width="9.85546875" style="2" customWidth="1"/>
    <col min="13" max="13" width="9.140625" style="378"/>
    <col min="14" max="14" width="10.28515625" style="378" customWidth="1"/>
    <col min="15" max="16384" width="9.140625" style="2"/>
  </cols>
  <sheetData>
    <row r="1" spans="1:14">
      <c r="A1" s="645" t="s">
        <v>440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439" t="s">
        <v>753</v>
      </c>
      <c r="N4" s="440" t="s">
        <v>754</v>
      </c>
    </row>
    <row r="5" spans="1:14" ht="23.1" customHeight="1">
      <c r="A5" s="15"/>
      <c r="B5" s="35" t="s">
        <v>16</v>
      </c>
      <c r="C5" s="15">
        <v>1</v>
      </c>
      <c r="D5" s="278" t="s">
        <v>441</v>
      </c>
      <c r="E5" s="19">
        <v>12</v>
      </c>
      <c r="F5" s="44">
        <v>0.5</v>
      </c>
      <c r="G5" s="18"/>
      <c r="H5" s="15">
        <v>50</v>
      </c>
      <c r="I5" s="15">
        <v>1</v>
      </c>
      <c r="J5" s="47">
        <v>16.5</v>
      </c>
      <c r="K5" s="53">
        <v>2.5</v>
      </c>
      <c r="L5" s="47">
        <f>J5+K5</f>
        <v>19</v>
      </c>
      <c r="M5" s="444">
        <v>0.56999999999999995</v>
      </c>
      <c r="N5" s="444">
        <f>M5*34.12</f>
        <v>19.448399999999996</v>
      </c>
    </row>
    <row r="6" spans="1:14" ht="23.1" customHeight="1">
      <c r="A6" s="22"/>
      <c r="B6" s="54" t="s">
        <v>828</v>
      </c>
      <c r="C6" s="22">
        <v>2</v>
      </c>
      <c r="D6" s="101" t="s">
        <v>217</v>
      </c>
      <c r="E6" s="25">
        <v>61</v>
      </c>
      <c r="F6" s="45">
        <v>0.75</v>
      </c>
      <c r="G6" s="24"/>
      <c r="H6" s="22">
        <v>50</v>
      </c>
      <c r="I6" s="22">
        <v>1</v>
      </c>
      <c r="J6" s="48">
        <v>20.25</v>
      </c>
      <c r="K6" s="98">
        <v>3.25</v>
      </c>
      <c r="L6" s="48">
        <f t="shared" ref="L6:L12" si="0">J6+K6</f>
        <v>23.5</v>
      </c>
      <c r="M6" s="445">
        <v>0.56999999999999995</v>
      </c>
      <c r="N6" s="445">
        <f t="shared" ref="N6:N12" si="1">M6*34.12</f>
        <v>19.448399999999996</v>
      </c>
    </row>
    <row r="7" spans="1:14" ht="23.1" customHeight="1">
      <c r="A7" s="22"/>
      <c r="B7" s="22"/>
      <c r="C7" s="22">
        <v>3</v>
      </c>
      <c r="D7" s="101" t="s">
        <v>442</v>
      </c>
      <c r="E7" s="25">
        <v>89</v>
      </c>
      <c r="F7" s="45">
        <v>0.25</v>
      </c>
      <c r="G7" s="24"/>
      <c r="H7" s="22">
        <v>100</v>
      </c>
      <c r="I7" s="22">
        <v>1</v>
      </c>
      <c r="J7" s="48">
        <v>13.75</v>
      </c>
      <c r="K7" s="98">
        <v>1.75</v>
      </c>
      <c r="L7" s="48">
        <f t="shared" si="0"/>
        <v>15.5</v>
      </c>
      <c r="M7" s="445">
        <v>0.76</v>
      </c>
      <c r="N7" s="445">
        <f t="shared" si="1"/>
        <v>25.931199999999997</v>
      </c>
    </row>
    <row r="8" spans="1:14" ht="23.1" customHeight="1">
      <c r="A8" s="22"/>
      <c r="B8" s="22"/>
      <c r="C8" s="22">
        <v>4</v>
      </c>
      <c r="D8" s="101" t="s">
        <v>443</v>
      </c>
      <c r="E8" s="25">
        <v>88</v>
      </c>
      <c r="F8" s="45">
        <v>0.25</v>
      </c>
      <c r="G8" s="24"/>
      <c r="H8" s="22">
        <v>100</v>
      </c>
      <c r="I8" s="22">
        <v>1</v>
      </c>
      <c r="J8" s="48">
        <v>13.75</v>
      </c>
      <c r="K8" s="98">
        <v>1.75</v>
      </c>
      <c r="L8" s="48">
        <f t="shared" si="0"/>
        <v>15.5</v>
      </c>
      <c r="M8" s="445">
        <v>0.76</v>
      </c>
      <c r="N8" s="445">
        <f t="shared" si="1"/>
        <v>25.931199999999997</v>
      </c>
    </row>
    <row r="9" spans="1:14" ht="23.1" customHeight="1">
      <c r="A9" s="22"/>
      <c r="B9" s="22"/>
      <c r="C9" s="22">
        <v>5</v>
      </c>
      <c r="D9" s="101" t="s">
        <v>251</v>
      </c>
      <c r="E9" s="25">
        <v>564</v>
      </c>
      <c r="F9" s="279">
        <v>1</v>
      </c>
      <c r="G9" s="24"/>
      <c r="H9" s="280" t="s">
        <v>444</v>
      </c>
      <c r="I9" s="22">
        <v>2</v>
      </c>
      <c r="J9" s="48">
        <v>35</v>
      </c>
      <c r="K9" s="98">
        <v>5</v>
      </c>
      <c r="L9" s="48">
        <f t="shared" si="0"/>
        <v>40</v>
      </c>
      <c r="M9" s="445">
        <v>1.52</v>
      </c>
      <c r="N9" s="445">
        <f t="shared" si="1"/>
        <v>51.862399999999994</v>
      </c>
    </row>
    <row r="10" spans="1:14" ht="23.1" customHeight="1">
      <c r="A10" s="22"/>
      <c r="B10" s="22"/>
      <c r="C10" s="22">
        <v>6</v>
      </c>
      <c r="D10" s="101" t="s">
        <v>445</v>
      </c>
      <c r="E10" s="25">
        <v>204</v>
      </c>
      <c r="F10" s="279">
        <v>1.7</v>
      </c>
      <c r="G10" s="24"/>
      <c r="H10" s="281">
        <v>100</v>
      </c>
      <c r="I10" s="22">
        <v>1</v>
      </c>
      <c r="J10" s="48">
        <v>35.5</v>
      </c>
      <c r="K10" s="98">
        <v>6.1</v>
      </c>
      <c r="L10" s="48">
        <f t="shared" si="0"/>
        <v>41.6</v>
      </c>
      <c r="M10" s="445">
        <v>0.76</v>
      </c>
      <c r="N10" s="445">
        <f t="shared" si="1"/>
        <v>25.931199999999997</v>
      </c>
    </row>
    <row r="11" spans="1:14" ht="23.1" customHeight="1">
      <c r="A11" s="22"/>
      <c r="B11" s="22"/>
      <c r="C11" s="22">
        <v>7</v>
      </c>
      <c r="D11" s="101" t="s">
        <v>72</v>
      </c>
      <c r="E11" s="25">
        <v>113</v>
      </c>
      <c r="F11" s="279">
        <v>1.6</v>
      </c>
      <c r="G11" s="24"/>
      <c r="H11" s="281">
        <v>50</v>
      </c>
      <c r="I11" s="22">
        <v>1</v>
      </c>
      <c r="J11" s="48">
        <v>33</v>
      </c>
      <c r="K11" s="98">
        <v>5.8</v>
      </c>
      <c r="L11" s="48">
        <f t="shared" si="0"/>
        <v>38.799999999999997</v>
      </c>
      <c r="M11" s="445">
        <v>0.56999999999999995</v>
      </c>
      <c r="N11" s="445">
        <f t="shared" si="1"/>
        <v>19.448399999999996</v>
      </c>
    </row>
    <row r="12" spans="1:14" ht="23.1" customHeight="1">
      <c r="A12" s="22"/>
      <c r="B12" s="22"/>
      <c r="C12" s="22">
        <v>8</v>
      </c>
      <c r="D12" s="101" t="s">
        <v>91</v>
      </c>
      <c r="E12" s="25">
        <v>114</v>
      </c>
      <c r="F12" s="45">
        <v>1.85</v>
      </c>
      <c r="G12" s="24"/>
      <c r="H12" s="22">
        <v>50</v>
      </c>
      <c r="I12" s="22">
        <v>1</v>
      </c>
      <c r="J12" s="48">
        <v>36.75</v>
      </c>
      <c r="K12" s="98">
        <v>6.55</v>
      </c>
      <c r="L12" s="48">
        <f t="shared" si="0"/>
        <v>43.3</v>
      </c>
      <c r="M12" s="445">
        <v>0.56999999999999995</v>
      </c>
      <c r="N12" s="445">
        <f t="shared" si="1"/>
        <v>19.448399999999996</v>
      </c>
    </row>
    <row r="13" spans="1:14" ht="23.1" customHeight="1">
      <c r="A13" s="690"/>
      <c r="B13" s="690"/>
      <c r="C13" s="690">
        <v>9</v>
      </c>
      <c r="D13" s="740" t="s">
        <v>446</v>
      </c>
      <c r="E13" s="710">
        <v>588</v>
      </c>
      <c r="F13" s="739">
        <v>1.9</v>
      </c>
      <c r="G13" s="665"/>
      <c r="H13" s="55">
        <v>200</v>
      </c>
      <c r="I13" s="22">
        <v>1</v>
      </c>
      <c r="J13" s="736">
        <v>60</v>
      </c>
      <c r="K13" s="656">
        <v>8.6999999999999993</v>
      </c>
      <c r="L13" s="736">
        <f>J13+K13</f>
        <v>68.7</v>
      </c>
      <c r="M13" s="445">
        <v>1</v>
      </c>
      <c r="N13" s="445">
        <f>M13*34.12</f>
        <v>34.119999999999997</v>
      </c>
    </row>
    <row r="14" spans="1:14" ht="23.1" customHeight="1">
      <c r="A14" s="735"/>
      <c r="B14" s="735"/>
      <c r="C14" s="735"/>
      <c r="D14" s="741"/>
      <c r="E14" s="711"/>
      <c r="F14" s="742"/>
      <c r="G14" s="743"/>
      <c r="H14" s="29">
        <v>100</v>
      </c>
      <c r="I14" s="29">
        <v>2</v>
      </c>
      <c r="J14" s="737"/>
      <c r="K14" s="738"/>
      <c r="L14" s="737"/>
      <c r="M14" s="446">
        <v>0.76</v>
      </c>
      <c r="N14" s="446">
        <f>M14*34.12</f>
        <v>25.931199999999997</v>
      </c>
    </row>
    <row r="15" spans="1:14" s="11" customFormat="1" ht="23.1" customHeight="1">
      <c r="A15" s="64"/>
      <c r="B15" s="64" t="s">
        <v>759</v>
      </c>
      <c r="C15" s="64"/>
      <c r="D15" s="65" t="s">
        <v>829</v>
      </c>
      <c r="E15" s="282">
        <f>SUM(E5:E13)</f>
        <v>1833</v>
      </c>
      <c r="F15" s="283">
        <f>SUM(F5:F13)</f>
        <v>9.8000000000000007</v>
      </c>
      <c r="G15" s="284"/>
      <c r="H15" s="282">
        <v>1000</v>
      </c>
      <c r="I15" s="282">
        <f>SUM(I5:I14)</f>
        <v>12</v>
      </c>
      <c r="J15" s="285">
        <f>SUM(J5:J13)</f>
        <v>264.5</v>
      </c>
      <c r="K15" s="285">
        <f>SUM(K5:K13)</f>
        <v>41.400000000000006</v>
      </c>
      <c r="L15" s="285">
        <f>SUM(L5:L13)</f>
        <v>305.89999999999998</v>
      </c>
      <c r="M15" s="447">
        <f>SUM(M5:M14)</f>
        <v>7.84</v>
      </c>
      <c r="N15" s="447">
        <f>SUM(N5:N14)</f>
        <v>267.50079999999997</v>
      </c>
    </row>
    <row r="16" spans="1:14">
      <c r="D16" s="2"/>
      <c r="E16" s="2"/>
      <c r="F16" s="2"/>
      <c r="G16" s="2"/>
      <c r="H16" s="2"/>
      <c r="I16" s="2"/>
      <c r="J16" s="2"/>
    </row>
    <row r="17" spans="1:14">
      <c r="D17" s="2"/>
      <c r="E17" s="2"/>
      <c r="F17" s="2"/>
      <c r="G17" s="2"/>
      <c r="H17" s="2"/>
      <c r="I17" s="2"/>
      <c r="J17" s="2"/>
    </row>
    <row r="18" spans="1:14">
      <c r="D18" s="2"/>
      <c r="E18" s="2"/>
      <c r="F18" s="2"/>
      <c r="G18" s="2"/>
      <c r="H18" s="2"/>
      <c r="I18" s="2"/>
      <c r="J18" s="2"/>
    </row>
    <row r="19" spans="1:14">
      <c r="D19" s="2"/>
      <c r="E19" s="2"/>
      <c r="F19" s="2"/>
      <c r="G19" s="2"/>
      <c r="H19" s="2"/>
      <c r="I19" s="2"/>
      <c r="J19" s="2"/>
    </row>
    <row r="20" spans="1:14">
      <c r="D20" s="2"/>
      <c r="E20" s="2"/>
      <c r="F20" s="2"/>
      <c r="G20" s="2"/>
      <c r="H20" s="2"/>
      <c r="I20" s="2"/>
      <c r="J20" s="2"/>
    </row>
    <row r="21" spans="1:14">
      <c r="D21" s="2"/>
      <c r="E21" s="2"/>
      <c r="F21" s="2"/>
      <c r="G21" s="2"/>
      <c r="H21" s="2"/>
      <c r="I21" s="2"/>
      <c r="J21" s="2"/>
    </row>
    <row r="22" spans="1:14">
      <c r="D22" s="2"/>
      <c r="E22" s="2"/>
      <c r="F22" s="2"/>
      <c r="G22" s="2"/>
      <c r="H22" s="2"/>
      <c r="I22" s="2"/>
      <c r="J22" s="2"/>
    </row>
    <row r="23" spans="1:14">
      <c r="D23" s="2"/>
      <c r="E23" s="2"/>
      <c r="F23" s="2"/>
      <c r="G23" s="2"/>
      <c r="H23" s="2"/>
      <c r="I23" s="2"/>
      <c r="J23" s="2"/>
    </row>
    <row r="24" spans="1:14">
      <c r="D24" s="2"/>
      <c r="E24" s="2"/>
      <c r="F24" s="2"/>
      <c r="G24" s="2"/>
      <c r="H24" s="2"/>
      <c r="I24" s="2"/>
      <c r="J24" s="2"/>
    </row>
    <row r="25" spans="1:14">
      <c r="D25" s="2"/>
      <c r="E25" s="2"/>
      <c r="F25" s="2"/>
      <c r="G25" s="2"/>
      <c r="H25" s="2"/>
      <c r="I25" s="2"/>
      <c r="J25" s="2"/>
    </row>
    <row r="26" spans="1:14">
      <c r="D26" s="2"/>
      <c r="E26" s="2"/>
      <c r="F26" s="2"/>
      <c r="G26" s="2"/>
      <c r="H26" s="2"/>
      <c r="I26" s="2"/>
      <c r="J26" s="2"/>
    </row>
    <row r="27" spans="1:14">
      <c r="A27" s="645" t="s">
        <v>447</v>
      </c>
      <c r="B27" s="645"/>
      <c r="C27" s="645"/>
      <c r="D27" s="645"/>
      <c r="E27" s="645"/>
      <c r="F27" s="645"/>
      <c r="G27" s="645"/>
      <c r="H27" s="645"/>
      <c r="I27" s="645"/>
      <c r="J27" s="645"/>
      <c r="K27" s="645"/>
      <c r="L27" s="645"/>
    </row>
    <row r="28" spans="1:14" s="5" customFormat="1" ht="27.75" customHeight="1">
      <c r="A28" s="654" t="s">
        <v>1</v>
      </c>
      <c r="B28" s="632" t="s">
        <v>755</v>
      </c>
      <c r="C28" s="646" t="s">
        <v>21</v>
      </c>
      <c r="D28" s="647"/>
      <c r="E28" s="652" t="s">
        <v>756</v>
      </c>
      <c r="F28" s="654" t="s">
        <v>3</v>
      </c>
      <c r="G28" s="654"/>
      <c r="H28" s="654"/>
      <c r="I28" s="654"/>
      <c r="J28" s="654" t="s">
        <v>761</v>
      </c>
      <c r="K28" s="654"/>
      <c r="L28" s="654"/>
      <c r="M28" s="644" t="s">
        <v>857</v>
      </c>
      <c r="N28" s="644"/>
    </row>
    <row r="29" spans="1:14" s="5" customFormat="1" ht="40.5" customHeight="1">
      <c r="A29" s="654"/>
      <c r="B29" s="633"/>
      <c r="C29" s="648"/>
      <c r="D29" s="649"/>
      <c r="E29" s="652"/>
      <c r="F29" s="652" t="s">
        <v>757</v>
      </c>
      <c r="G29" s="652" t="s">
        <v>5</v>
      </c>
      <c r="H29" s="652" t="s">
        <v>6</v>
      </c>
      <c r="I29" s="652"/>
      <c r="J29" s="652" t="s">
        <v>22</v>
      </c>
      <c r="K29" s="652" t="s">
        <v>762</v>
      </c>
      <c r="L29" s="654" t="s">
        <v>8</v>
      </c>
      <c r="M29" s="644"/>
      <c r="N29" s="644"/>
    </row>
    <row r="30" spans="1:14" s="5" customFormat="1" ht="58.5" customHeight="1">
      <c r="A30" s="632"/>
      <c r="B30" s="634"/>
      <c r="C30" s="650"/>
      <c r="D30" s="651"/>
      <c r="E30" s="653"/>
      <c r="F30" s="653"/>
      <c r="G30" s="653"/>
      <c r="H30" s="381" t="s">
        <v>9</v>
      </c>
      <c r="I30" s="381" t="s">
        <v>10</v>
      </c>
      <c r="J30" s="653"/>
      <c r="K30" s="632"/>
      <c r="L30" s="632"/>
      <c r="M30" s="382" t="s">
        <v>753</v>
      </c>
      <c r="N30" s="383" t="s">
        <v>754</v>
      </c>
    </row>
    <row r="31" spans="1:14" s="11" customFormat="1" ht="21.95" customHeight="1">
      <c r="A31" s="19"/>
      <c r="B31" s="35" t="s">
        <v>16</v>
      </c>
      <c r="C31" s="178">
        <v>1</v>
      </c>
      <c r="D31" s="278" t="s">
        <v>448</v>
      </c>
      <c r="E31" s="19">
        <v>101</v>
      </c>
      <c r="F31" s="727">
        <v>1.98</v>
      </c>
      <c r="G31" s="287"/>
      <c r="H31" s="19">
        <v>100</v>
      </c>
      <c r="I31" s="19">
        <v>1</v>
      </c>
      <c r="J31" s="725">
        <v>69.7</v>
      </c>
      <c r="K31" s="725">
        <v>9.94</v>
      </c>
      <c r="L31" s="725">
        <f>J31+K31</f>
        <v>79.64</v>
      </c>
      <c r="M31" s="387">
        <v>0.76</v>
      </c>
      <c r="N31" s="387">
        <f>M31*34.12</f>
        <v>25.931199999999997</v>
      </c>
    </row>
    <row r="32" spans="1:14" s="11" customFormat="1" ht="21.95" customHeight="1">
      <c r="A32" s="25"/>
      <c r="B32" s="54" t="s">
        <v>831</v>
      </c>
      <c r="C32" s="208">
        <v>2</v>
      </c>
      <c r="D32" s="101" t="s">
        <v>449</v>
      </c>
      <c r="E32" s="25">
        <v>97</v>
      </c>
      <c r="F32" s="708"/>
      <c r="G32" s="288"/>
      <c r="H32" s="25">
        <v>100</v>
      </c>
      <c r="I32" s="25">
        <v>1</v>
      </c>
      <c r="J32" s="693"/>
      <c r="K32" s="693"/>
      <c r="L32" s="693"/>
      <c r="M32" s="388">
        <v>0.76</v>
      </c>
      <c r="N32" s="388">
        <f t="shared" ref="N32:N41" si="2">M32*34.12</f>
        <v>25.931199999999997</v>
      </c>
    </row>
    <row r="33" spans="1:14" s="11" customFormat="1" ht="21.95" customHeight="1">
      <c r="A33" s="25"/>
      <c r="B33" s="25"/>
      <c r="C33" s="208">
        <v>3</v>
      </c>
      <c r="D33" s="101" t="s">
        <v>268</v>
      </c>
      <c r="E33" s="25">
        <v>185</v>
      </c>
      <c r="F33" s="708"/>
      <c r="G33" s="288"/>
      <c r="H33" s="25">
        <v>100</v>
      </c>
      <c r="I33" s="25">
        <v>1</v>
      </c>
      <c r="J33" s="693"/>
      <c r="K33" s="693"/>
      <c r="L33" s="693"/>
      <c r="M33" s="388">
        <v>0.76</v>
      </c>
      <c r="N33" s="388">
        <f t="shared" si="2"/>
        <v>25.931199999999997</v>
      </c>
    </row>
    <row r="34" spans="1:14" s="11" customFormat="1" ht="21.95" customHeight="1">
      <c r="A34" s="25"/>
      <c r="B34" s="25"/>
      <c r="C34" s="208">
        <v>4</v>
      </c>
      <c r="D34" s="101" t="s">
        <v>450</v>
      </c>
      <c r="E34" s="25">
        <v>82</v>
      </c>
      <c r="F34" s="708"/>
      <c r="G34" s="288"/>
      <c r="H34" s="25">
        <v>100</v>
      </c>
      <c r="I34" s="25">
        <v>1</v>
      </c>
      <c r="J34" s="693"/>
      <c r="K34" s="693"/>
      <c r="L34" s="693"/>
      <c r="M34" s="388">
        <v>0.76</v>
      </c>
      <c r="N34" s="388">
        <f t="shared" si="2"/>
        <v>25.931199999999997</v>
      </c>
    </row>
    <row r="35" spans="1:14" s="11" customFormat="1" ht="21.95" customHeight="1">
      <c r="A35" s="25"/>
      <c r="B35" s="25"/>
      <c r="C35" s="208">
        <v>5</v>
      </c>
      <c r="D35" s="58" t="s">
        <v>451</v>
      </c>
      <c r="E35" s="22">
        <v>111</v>
      </c>
      <c r="F35" s="45">
        <v>1.38</v>
      </c>
      <c r="G35" s="288"/>
      <c r="H35" s="22">
        <v>100</v>
      </c>
      <c r="I35" s="25">
        <v>1</v>
      </c>
      <c r="J35" s="48">
        <v>30.7</v>
      </c>
      <c r="K35" s="181">
        <v>5.14</v>
      </c>
      <c r="L35" s="181">
        <f>J35+K35</f>
        <v>35.839999999999996</v>
      </c>
      <c r="M35" s="388">
        <v>0.76</v>
      </c>
      <c r="N35" s="388">
        <f t="shared" si="2"/>
        <v>25.931199999999997</v>
      </c>
    </row>
    <row r="36" spans="1:14" s="11" customFormat="1" ht="21.95" customHeight="1">
      <c r="A36" s="25"/>
      <c r="B36" s="25"/>
      <c r="C36" s="208">
        <v>6</v>
      </c>
      <c r="D36" s="58" t="s">
        <v>452</v>
      </c>
      <c r="E36" s="22">
        <v>121</v>
      </c>
      <c r="F36" s="739">
        <v>1.86</v>
      </c>
      <c r="G36" s="288"/>
      <c r="H36" s="22">
        <v>100</v>
      </c>
      <c r="I36" s="25">
        <v>1</v>
      </c>
      <c r="J36" s="736">
        <v>46.9</v>
      </c>
      <c r="K36" s="693">
        <v>7.58</v>
      </c>
      <c r="L36" s="181">
        <f>K36+J36</f>
        <v>54.48</v>
      </c>
      <c r="M36" s="388">
        <v>0.76</v>
      </c>
      <c r="N36" s="388">
        <f t="shared" si="2"/>
        <v>25.931199999999997</v>
      </c>
    </row>
    <row r="37" spans="1:14" s="11" customFormat="1" ht="21.95" customHeight="1">
      <c r="A37" s="25"/>
      <c r="B37" s="25"/>
      <c r="C37" s="208">
        <v>7</v>
      </c>
      <c r="D37" s="58" t="s">
        <v>453</v>
      </c>
      <c r="E37" s="22">
        <v>46</v>
      </c>
      <c r="F37" s="739"/>
      <c r="G37" s="288"/>
      <c r="H37" s="22">
        <v>50</v>
      </c>
      <c r="I37" s="25">
        <v>1</v>
      </c>
      <c r="J37" s="736"/>
      <c r="K37" s="693"/>
      <c r="L37" s="181"/>
      <c r="M37" s="388">
        <v>0.56999999999999995</v>
      </c>
      <c r="N37" s="388">
        <f t="shared" si="2"/>
        <v>19.448399999999996</v>
      </c>
    </row>
    <row r="38" spans="1:14" s="11" customFormat="1" ht="21.95" customHeight="1">
      <c r="A38" s="25"/>
      <c r="B38" s="25"/>
      <c r="C38" s="208">
        <v>8</v>
      </c>
      <c r="D38" s="58" t="s">
        <v>454</v>
      </c>
      <c r="E38" s="22">
        <v>112</v>
      </c>
      <c r="F38" s="289">
        <v>0.39</v>
      </c>
      <c r="G38" s="288"/>
      <c r="H38" s="22">
        <v>100</v>
      </c>
      <c r="I38" s="25">
        <v>1</v>
      </c>
      <c r="J38" s="48">
        <v>15.85</v>
      </c>
      <c r="K38" s="181">
        <v>2.17</v>
      </c>
      <c r="L38" s="181">
        <f>K38+J38</f>
        <v>18.02</v>
      </c>
      <c r="M38" s="388">
        <v>0.76</v>
      </c>
      <c r="N38" s="388">
        <f t="shared" si="2"/>
        <v>25.931199999999997</v>
      </c>
    </row>
    <row r="39" spans="1:14" s="11" customFormat="1" ht="21.95" customHeight="1">
      <c r="A39" s="25"/>
      <c r="B39" s="25"/>
      <c r="C39" s="208">
        <v>9</v>
      </c>
      <c r="D39" s="58" t="s">
        <v>455</v>
      </c>
      <c r="E39" s="22">
        <v>154</v>
      </c>
      <c r="F39" s="739">
        <v>1.38</v>
      </c>
      <c r="G39" s="288"/>
      <c r="H39" s="22">
        <v>200</v>
      </c>
      <c r="I39" s="25">
        <v>1</v>
      </c>
      <c r="J39" s="736">
        <v>42.2</v>
      </c>
      <c r="K39" s="693">
        <v>6.14</v>
      </c>
      <c r="L39" s="181">
        <f>K39+J39</f>
        <v>48.34</v>
      </c>
      <c r="M39" s="388">
        <v>1</v>
      </c>
      <c r="N39" s="388">
        <f t="shared" si="2"/>
        <v>34.119999999999997</v>
      </c>
    </row>
    <row r="40" spans="1:14" s="11" customFormat="1" ht="21.95" customHeight="1">
      <c r="A40" s="25"/>
      <c r="B40" s="25"/>
      <c r="C40" s="208">
        <v>10</v>
      </c>
      <c r="D40" s="58" t="s">
        <v>456</v>
      </c>
      <c r="E40" s="22">
        <v>104</v>
      </c>
      <c r="F40" s="739"/>
      <c r="G40" s="288"/>
      <c r="H40" s="22">
        <v>100</v>
      </c>
      <c r="I40" s="25">
        <v>1</v>
      </c>
      <c r="J40" s="736"/>
      <c r="K40" s="693"/>
      <c r="L40" s="181"/>
      <c r="M40" s="388">
        <v>0.76</v>
      </c>
      <c r="N40" s="388">
        <f t="shared" si="2"/>
        <v>25.931199999999997</v>
      </c>
    </row>
    <row r="41" spans="1:14" s="11" customFormat="1" ht="21.95" customHeight="1">
      <c r="A41" s="32"/>
      <c r="B41" s="32"/>
      <c r="C41" s="253">
        <v>11</v>
      </c>
      <c r="D41" s="290" t="s">
        <v>457</v>
      </c>
      <c r="E41" s="32">
        <v>67</v>
      </c>
      <c r="F41" s="210">
        <v>0.55000000000000004</v>
      </c>
      <c r="G41" s="291"/>
      <c r="H41" s="32">
        <v>50</v>
      </c>
      <c r="I41" s="32">
        <v>1</v>
      </c>
      <c r="J41" s="182">
        <v>17.25</v>
      </c>
      <c r="K41" s="182">
        <v>2.65</v>
      </c>
      <c r="L41" s="182">
        <f>J41+K41</f>
        <v>19.899999999999999</v>
      </c>
      <c r="M41" s="389">
        <v>0.56999999999999995</v>
      </c>
      <c r="N41" s="389">
        <f t="shared" si="2"/>
        <v>19.448399999999996</v>
      </c>
    </row>
    <row r="42" spans="1:14" s="11" customFormat="1" ht="30.75" customHeight="1">
      <c r="A42" s="64"/>
      <c r="B42" s="64" t="s">
        <v>759</v>
      </c>
      <c r="C42" s="64"/>
      <c r="D42" s="65" t="s">
        <v>830</v>
      </c>
      <c r="E42" s="36">
        <f>SUM(E31:E41)</f>
        <v>1180</v>
      </c>
      <c r="F42" s="37">
        <f>SUM(F31:F41)</f>
        <v>7.5399999999999991</v>
      </c>
      <c r="G42" s="38"/>
      <c r="H42" s="225">
        <f>SUM(H31:H40)</f>
        <v>1050</v>
      </c>
      <c r="I42" s="36">
        <f>SUM(I31:I41)</f>
        <v>11</v>
      </c>
      <c r="J42" s="50">
        <f>SUM(J31:J41)</f>
        <v>222.60000000000002</v>
      </c>
      <c r="K42" s="50">
        <f>SUM(K31:K41)</f>
        <v>33.619999999999997</v>
      </c>
      <c r="L42" s="50">
        <f>SUM(L31:L41)</f>
        <v>256.21999999999997</v>
      </c>
      <c r="M42" s="379">
        <f t="shared" ref="M42:N42" si="3">SUM(M31:M41)</f>
        <v>8.2199999999999989</v>
      </c>
      <c r="N42" s="379">
        <f t="shared" si="3"/>
        <v>280.46639999999996</v>
      </c>
    </row>
    <row r="43" spans="1:14" s="228" customFormat="1" ht="30.75" customHeight="1">
      <c r="A43" s="64"/>
      <c r="B43" s="64" t="s">
        <v>759</v>
      </c>
      <c r="C43" s="64"/>
      <c r="D43" s="65" t="s">
        <v>774</v>
      </c>
      <c r="E43" s="39">
        <f>E42+E15</f>
        <v>3013</v>
      </c>
      <c r="F43" s="111">
        <f>F42+F15</f>
        <v>17.34</v>
      </c>
      <c r="G43" s="39"/>
      <c r="H43" s="39">
        <f t="shared" ref="H43:M43" si="4">H42+H15</f>
        <v>2050</v>
      </c>
      <c r="I43" s="39">
        <f t="shared" si="4"/>
        <v>23</v>
      </c>
      <c r="J43" s="112">
        <f t="shared" si="4"/>
        <v>487.1</v>
      </c>
      <c r="K43" s="112">
        <f t="shared" si="4"/>
        <v>75.02000000000001</v>
      </c>
      <c r="L43" s="112">
        <f t="shared" si="4"/>
        <v>562.11999999999989</v>
      </c>
      <c r="M43" s="380">
        <f t="shared" si="4"/>
        <v>16.059999999999999</v>
      </c>
      <c r="N43" s="380">
        <f t="shared" ref="N43" si="5">N42+N15</f>
        <v>547.96719999999993</v>
      </c>
    </row>
    <row r="44" spans="1:14" s="228" customFormat="1">
      <c r="D44" s="276"/>
      <c r="E44" s="276"/>
      <c r="F44" s="277"/>
      <c r="G44" s="277"/>
      <c r="H44" s="277"/>
      <c r="I44" s="276"/>
      <c r="J44" s="2"/>
      <c r="M44" s="378"/>
      <c r="N44" s="378"/>
    </row>
    <row r="45" spans="1:14" s="228" customFormat="1">
      <c r="D45" s="276"/>
      <c r="E45" s="276"/>
      <c r="F45" s="277"/>
      <c r="G45" s="277"/>
      <c r="H45" s="277"/>
      <c r="I45" s="276"/>
      <c r="J45" s="2"/>
      <c r="M45" s="378"/>
      <c r="N45" s="378"/>
    </row>
    <row r="46" spans="1:14" s="228" customFormat="1">
      <c r="D46" s="276"/>
      <c r="E46" s="276"/>
      <c r="F46" s="277"/>
      <c r="G46" s="277"/>
      <c r="H46" s="277"/>
      <c r="I46" s="276"/>
      <c r="J46" s="2"/>
      <c r="M46" s="378"/>
      <c r="N46" s="378"/>
    </row>
    <row r="47" spans="1:14">
      <c r="D47" s="2"/>
      <c r="E47" s="2"/>
      <c r="F47" s="2"/>
      <c r="G47" s="2"/>
      <c r="H47" s="2"/>
      <c r="I47" s="2"/>
      <c r="J47" s="2"/>
    </row>
    <row r="48" spans="1:14">
      <c r="D48" s="2"/>
      <c r="E48" s="2"/>
      <c r="F48" s="2"/>
      <c r="G48" s="2"/>
      <c r="H48" s="2"/>
      <c r="I48" s="2"/>
      <c r="J48" s="2"/>
    </row>
    <row r="49" spans="4:10">
      <c r="D49" s="2"/>
      <c r="E49" s="2"/>
      <c r="F49" s="2"/>
      <c r="G49" s="2"/>
      <c r="H49" s="2"/>
      <c r="I49" s="2"/>
      <c r="J49" s="2"/>
    </row>
    <row r="50" spans="4:10">
      <c r="D50" s="2"/>
      <c r="E50" s="2"/>
      <c r="F50" s="2"/>
      <c r="G50" s="2"/>
      <c r="H50" s="2"/>
      <c r="I50" s="2"/>
      <c r="J50" s="2"/>
    </row>
    <row r="51" spans="4:10">
      <c r="D51" s="2"/>
      <c r="E51" s="2"/>
      <c r="F51" s="2"/>
      <c r="G51" s="2"/>
      <c r="H51" s="2"/>
      <c r="I51" s="2"/>
      <c r="J51" s="2"/>
    </row>
    <row r="52" spans="4:10">
      <c r="D52" s="2"/>
      <c r="E52" s="2"/>
      <c r="F52" s="2"/>
      <c r="G52" s="2"/>
      <c r="H52" s="2"/>
      <c r="I52" s="2"/>
      <c r="J52" s="2"/>
    </row>
    <row r="53" spans="4:10">
      <c r="D53" s="2"/>
      <c r="E53" s="2"/>
      <c r="F53" s="2"/>
      <c r="G53" s="2"/>
      <c r="H53" s="2"/>
      <c r="I53" s="2"/>
      <c r="J53" s="2"/>
    </row>
    <row r="54" spans="4:10">
      <c r="D54" s="2"/>
      <c r="E54" s="2"/>
      <c r="F54" s="2"/>
      <c r="G54" s="2"/>
      <c r="H54" s="2"/>
      <c r="I54" s="2"/>
      <c r="J54" s="2"/>
    </row>
    <row r="55" spans="4:10">
      <c r="D55" s="2"/>
      <c r="E55" s="2"/>
      <c r="F55" s="2"/>
      <c r="G55" s="2"/>
      <c r="H55" s="2"/>
      <c r="I55" s="2"/>
      <c r="J55" s="2"/>
    </row>
    <row r="56" spans="4:10">
      <c r="D56" s="2"/>
      <c r="E56" s="2"/>
      <c r="F56" s="2"/>
      <c r="G56" s="2"/>
      <c r="H56" s="2"/>
      <c r="I56" s="2"/>
      <c r="J56" s="2"/>
    </row>
    <row r="57" spans="4:10">
      <c r="D57" s="2"/>
      <c r="E57" s="2"/>
      <c r="F57" s="2"/>
      <c r="G57" s="2"/>
      <c r="H57" s="2"/>
      <c r="I57" s="2"/>
      <c r="J57" s="2"/>
    </row>
    <row r="58" spans="4:10">
      <c r="D58" s="2"/>
      <c r="E58" s="2"/>
      <c r="F58" s="2"/>
      <c r="G58" s="2"/>
      <c r="H58" s="2"/>
      <c r="I58" s="2"/>
      <c r="J58" s="2"/>
    </row>
    <row r="59" spans="4:10">
      <c r="D59" s="2"/>
      <c r="E59" s="2"/>
      <c r="F59" s="2"/>
      <c r="G59" s="2"/>
      <c r="H59" s="2"/>
      <c r="I59" s="2"/>
      <c r="J59" s="2"/>
    </row>
    <row r="60" spans="4:10">
      <c r="D60" s="2"/>
      <c r="E60" s="2"/>
      <c r="F60" s="2"/>
      <c r="G60" s="2"/>
      <c r="H60" s="2"/>
      <c r="I60" s="2"/>
      <c r="J60" s="2"/>
    </row>
    <row r="61" spans="4:10">
      <c r="D61" s="2"/>
      <c r="E61" s="2"/>
      <c r="F61" s="2"/>
      <c r="G61" s="2"/>
      <c r="H61" s="2"/>
      <c r="I61" s="2"/>
      <c r="J61" s="2"/>
    </row>
    <row r="62" spans="4:10">
      <c r="D62" s="2"/>
      <c r="E62" s="2"/>
      <c r="F62" s="2"/>
      <c r="G62" s="2"/>
      <c r="H62" s="2"/>
      <c r="I62" s="2"/>
      <c r="J62" s="2"/>
    </row>
    <row r="63" spans="4:10">
      <c r="D63" s="2"/>
      <c r="E63" s="2"/>
      <c r="F63" s="2"/>
      <c r="G63" s="2"/>
      <c r="H63" s="2"/>
      <c r="I63" s="2"/>
      <c r="J63" s="2"/>
    </row>
    <row r="64" spans="4:10">
      <c r="D64" s="2"/>
      <c r="E64" s="2"/>
      <c r="F64" s="2"/>
      <c r="G64" s="2"/>
      <c r="H64" s="2"/>
      <c r="I64" s="2"/>
      <c r="J64" s="2"/>
    </row>
    <row r="65" spans="4:10">
      <c r="D65" s="2"/>
      <c r="E65" s="2"/>
      <c r="F65" s="2"/>
      <c r="G65" s="2"/>
      <c r="H65" s="2"/>
      <c r="I65" s="2"/>
      <c r="J65" s="2"/>
    </row>
    <row r="66" spans="4:10">
      <c r="D66" s="2"/>
      <c r="E66" s="2"/>
      <c r="F66" s="2"/>
      <c r="G66" s="2"/>
      <c r="H66" s="2"/>
      <c r="I66" s="2"/>
      <c r="J66" s="2"/>
    </row>
    <row r="67" spans="4:10">
      <c r="D67" s="2"/>
      <c r="E67" s="2"/>
      <c r="F67" s="2"/>
      <c r="G67" s="2"/>
      <c r="H67" s="2"/>
      <c r="I67" s="2"/>
      <c r="J67" s="2"/>
    </row>
    <row r="68" spans="4:10">
      <c r="D68" s="2"/>
      <c r="E68" s="2"/>
      <c r="F68" s="2"/>
      <c r="G68" s="2"/>
      <c r="H68" s="2"/>
      <c r="I68" s="2"/>
      <c r="J68" s="2"/>
    </row>
    <row r="69" spans="4:10">
      <c r="D69" s="2"/>
      <c r="E69" s="2"/>
      <c r="F69" s="2"/>
      <c r="G69" s="2"/>
      <c r="H69" s="2"/>
      <c r="I69" s="2"/>
      <c r="J69" s="2"/>
    </row>
    <row r="70" spans="4:10">
      <c r="D70" s="2"/>
      <c r="E70" s="2"/>
      <c r="F70" s="2"/>
      <c r="G70" s="2"/>
      <c r="H70" s="2"/>
      <c r="I70" s="2"/>
      <c r="J70" s="2"/>
    </row>
    <row r="71" spans="4:10">
      <c r="D71" s="2"/>
      <c r="E71" s="2"/>
      <c r="F71" s="2"/>
      <c r="G71" s="2"/>
      <c r="H71" s="2"/>
      <c r="I71" s="2"/>
      <c r="J71" s="2"/>
    </row>
    <row r="72" spans="4:10">
      <c r="D72" s="2"/>
      <c r="E72" s="2"/>
      <c r="F72" s="2"/>
      <c r="G72" s="2"/>
      <c r="H72" s="2"/>
      <c r="I72" s="2"/>
      <c r="J72" s="2"/>
    </row>
    <row r="73" spans="4:10">
      <c r="D73" s="2"/>
      <c r="E73" s="2"/>
      <c r="F73" s="2"/>
      <c r="G73" s="2"/>
      <c r="H73" s="2"/>
      <c r="I73" s="2"/>
      <c r="J73" s="2"/>
    </row>
    <row r="74" spans="4:10">
      <c r="D74" s="2"/>
      <c r="E74" s="2"/>
      <c r="F74" s="2"/>
      <c r="G74" s="2"/>
      <c r="H74" s="2"/>
      <c r="I74" s="2"/>
      <c r="J74" s="2"/>
    </row>
    <row r="75" spans="4:10">
      <c r="D75" s="2"/>
      <c r="E75" s="2"/>
      <c r="F75" s="2"/>
      <c r="G75" s="2"/>
      <c r="H75" s="2"/>
      <c r="I75" s="2"/>
      <c r="J75" s="2"/>
    </row>
    <row r="76" spans="4:10">
      <c r="D76" s="2"/>
      <c r="E76" s="2"/>
      <c r="F76" s="2"/>
      <c r="G76" s="2"/>
      <c r="H76" s="2"/>
      <c r="I76" s="2"/>
      <c r="J76" s="2"/>
    </row>
    <row r="77" spans="4:10">
      <c r="D77" s="2"/>
      <c r="E77" s="2"/>
      <c r="F77" s="2"/>
      <c r="G77" s="2"/>
      <c r="H77" s="2"/>
      <c r="I77" s="2"/>
      <c r="J77" s="2"/>
    </row>
    <row r="78" spans="4:10">
      <c r="D78" s="2"/>
      <c r="E78" s="2"/>
      <c r="F78" s="2"/>
      <c r="G78" s="2"/>
      <c r="H78" s="2"/>
      <c r="I78" s="2"/>
      <c r="J78" s="2"/>
    </row>
    <row r="79" spans="4:10">
      <c r="D79" s="2"/>
      <c r="E79" s="2"/>
      <c r="F79" s="2"/>
      <c r="G79" s="2"/>
      <c r="H79" s="2"/>
      <c r="I79" s="2"/>
      <c r="J79" s="2"/>
    </row>
    <row r="80" spans="4:10">
      <c r="D80" s="2"/>
      <c r="E80" s="2"/>
      <c r="F80" s="2"/>
      <c r="G80" s="2"/>
      <c r="H80" s="2"/>
      <c r="I80" s="2"/>
      <c r="J80" s="2"/>
    </row>
    <row r="81" spans="4:10">
      <c r="D81" s="2"/>
      <c r="E81" s="2"/>
      <c r="F81" s="2"/>
      <c r="G81" s="2"/>
      <c r="H81" s="2"/>
      <c r="I81" s="2"/>
      <c r="J81" s="2"/>
    </row>
    <row r="82" spans="4:10">
      <c r="D82" s="2"/>
      <c r="E82" s="2"/>
      <c r="F82" s="2"/>
      <c r="G82" s="2"/>
      <c r="H82" s="2"/>
      <c r="I82" s="2"/>
      <c r="J82" s="2"/>
    </row>
    <row r="83" spans="4:10">
      <c r="D83" s="2"/>
      <c r="E83" s="2"/>
      <c r="F83" s="2"/>
      <c r="G83" s="2"/>
      <c r="H83" s="2"/>
      <c r="I83" s="2"/>
      <c r="J83" s="2"/>
    </row>
    <row r="84" spans="4:10">
      <c r="D84" s="2"/>
      <c r="E84" s="2"/>
      <c r="F84" s="2"/>
      <c r="G84" s="2"/>
      <c r="H84" s="2"/>
      <c r="I84" s="2"/>
      <c r="J84" s="2"/>
    </row>
    <row r="85" spans="4:10">
      <c r="D85" s="2"/>
      <c r="E85" s="2"/>
      <c r="F85" s="2"/>
      <c r="G85" s="2"/>
      <c r="H85" s="2"/>
      <c r="I85" s="2"/>
      <c r="J85" s="2"/>
    </row>
    <row r="86" spans="4:10">
      <c r="D86" s="2"/>
      <c r="E86" s="2"/>
      <c r="F86" s="2"/>
      <c r="G86" s="2"/>
      <c r="H86" s="2"/>
      <c r="I86" s="2"/>
      <c r="J86" s="2"/>
    </row>
    <row r="87" spans="4:10">
      <c r="D87" s="2"/>
      <c r="E87" s="2"/>
      <c r="F87" s="2"/>
      <c r="G87" s="2"/>
      <c r="H87" s="2"/>
      <c r="I87" s="2"/>
      <c r="J87" s="2"/>
    </row>
    <row r="88" spans="4:10">
      <c r="D88" s="2"/>
      <c r="E88" s="2"/>
      <c r="F88" s="2"/>
      <c r="G88" s="2"/>
      <c r="H88" s="2"/>
      <c r="I88" s="2"/>
      <c r="J88" s="2"/>
    </row>
    <row r="89" spans="4:10">
      <c r="D89" s="2"/>
      <c r="E89" s="2"/>
      <c r="F89" s="2"/>
      <c r="G89" s="2"/>
      <c r="H89" s="2"/>
      <c r="I89" s="2"/>
      <c r="J89" s="2"/>
    </row>
    <row r="90" spans="4:10">
      <c r="D90" s="2"/>
      <c r="E90" s="2"/>
      <c r="F90" s="2"/>
      <c r="G90" s="2"/>
      <c r="H90" s="2"/>
      <c r="I90" s="2"/>
      <c r="J90" s="2"/>
    </row>
    <row r="91" spans="4:10">
      <c r="D91" s="2"/>
      <c r="E91" s="2"/>
      <c r="F91" s="2"/>
      <c r="G91" s="2"/>
      <c r="H91" s="2"/>
      <c r="I91" s="2"/>
      <c r="J91" s="2"/>
    </row>
    <row r="92" spans="4:10">
      <c r="D92" s="2"/>
      <c r="E92" s="2"/>
      <c r="F92" s="2"/>
      <c r="G92" s="2"/>
      <c r="H92" s="2"/>
      <c r="I92" s="2"/>
      <c r="J92" s="2"/>
    </row>
    <row r="93" spans="4:10">
      <c r="D93" s="2"/>
      <c r="E93" s="2"/>
      <c r="F93" s="2"/>
      <c r="G93" s="2"/>
      <c r="H93" s="2"/>
      <c r="I93" s="2"/>
      <c r="J93" s="2"/>
    </row>
    <row r="94" spans="4:10">
      <c r="D94" s="2"/>
      <c r="E94" s="2"/>
      <c r="F94" s="2"/>
      <c r="G94" s="2"/>
      <c r="H94" s="2"/>
      <c r="I94" s="2"/>
      <c r="J94" s="2"/>
    </row>
    <row r="95" spans="4:10">
      <c r="D95" s="2"/>
      <c r="E95" s="2"/>
      <c r="F95" s="2"/>
      <c r="G95" s="2"/>
      <c r="H95" s="2"/>
      <c r="I95" s="2"/>
      <c r="J95" s="2"/>
    </row>
    <row r="96" spans="4:10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</sheetData>
  <mergeCells count="48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A13:A14"/>
    <mergeCell ref="D13:D14"/>
    <mergeCell ref="E13:E14"/>
    <mergeCell ref="F13:F14"/>
    <mergeCell ref="G13:G14"/>
    <mergeCell ref="A27:L27"/>
    <mergeCell ref="A28:A30"/>
    <mergeCell ref="E28:E30"/>
    <mergeCell ref="F28:I28"/>
    <mergeCell ref="J28:L28"/>
    <mergeCell ref="F29:F30"/>
    <mergeCell ref="G29:G30"/>
    <mergeCell ref="H29:I29"/>
    <mergeCell ref="B28:B30"/>
    <mergeCell ref="C28:D30"/>
    <mergeCell ref="F39:F40"/>
    <mergeCell ref="J39:J40"/>
    <mergeCell ref="K39:K40"/>
    <mergeCell ref="J29:J30"/>
    <mergeCell ref="K29:K30"/>
    <mergeCell ref="F31:F34"/>
    <mergeCell ref="J31:J34"/>
    <mergeCell ref="K31:K34"/>
    <mergeCell ref="M28:N29"/>
    <mergeCell ref="F36:F37"/>
    <mergeCell ref="J36:J37"/>
    <mergeCell ref="K36:K37"/>
    <mergeCell ref="L29:L30"/>
    <mergeCell ref="L31:L34"/>
    <mergeCell ref="M2:N3"/>
    <mergeCell ref="C13:C14"/>
    <mergeCell ref="B13:B14"/>
    <mergeCell ref="K3:K4"/>
    <mergeCell ref="L3:L4"/>
    <mergeCell ref="J13:J14"/>
    <mergeCell ref="K13:K14"/>
    <mergeCell ref="L13:L14"/>
  </mergeCells>
  <pageMargins left="0.25" right="0" top="0.25" bottom="0" header="0.25" footer="0.25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9"/>
  <sheetViews>
    <sheetView topLeftCell="A98" zoomScale="130" zoomScaleNormal="130" workbookViewId="0">
      <selection activeCell="A102" sqref="A102:N111"/>
    </sheetView>
  </sheetViews>
  <sheetFormatPr defaultRowHeight="16.5"/>
  <cols>
    <col min="1" max="1" width="5.28515625" style="2" customWidth="1"/>
    <col min="2" max="2" width="12.7109375" style="2" customWidth="1"/>
    <col min="3" max="3" width="4.5703125" style="2" customWidth="1"/>
    <col min="4" max="4" width="19.85546875" style="12" customWidth="1"/>
    <col min="5" max="5" width="8" style="12" customWidth="1"/>
    <col min="6" max="6" width="10.7109375" style="13" customWidth="1"/>
    <col min="7" max="7" width="10.42578125" style="13" customWidth="1"/>
    <col min="8" max="8" width="11" style="13" customWidth="1"/>
    <col min="9" max="9" width="6.5703125" style="13" customWidth="1"/>
    <col min="10" max="10" width="9.7109375" style="12" customWidth="1"/>
    <col min="11" max="12" width="9.7109375" style="2" customWidth="1"/>
    <col min="13" max="13" width="11.28515625" style="378" customWidth="1"/>
    <col min="14" max="14" width="12" style="378" customWidth="1"/>
    <col min="15" max="15" width="11.5703125" style="2" customWidth="1"/>
    <col min="16" max="16384" width="9.140625" style="2"/>
  </cols>
  <sheetData>
    <row r="1" spans="1:16" ht="27.75" customHeight="1">
      <c r="A1" s="645" t="s">
        <v>458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746" t="s">
        <v>752</v>
      </c>
      <c r="N2" s="747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748"/>
      <c r="N3" s="749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ht="21.95" customHeight="1">
      <c r="A5" s="15"/>
      <c r="B5" s="35" t="s">
        <v>18</v>
      </c>
      <c r="C5" s="15">
        <v>1</v>
      </c>
      <c r="D5" s="306" t="s">
        <v>459</v>
      </c>
      <c r="E5" s="15">
        <v>67</v>
      </c>
      <c r="F5" s="44">
        <v>0.38</v>
      </c>
      <c r="G5" s="302"/>
      <c r="H5" s="307">
        <v>50</v>
      </c>
      <c r="I5" s="15">
        <v>1</v>
      </c>
      <c r="J5" s="123">
        <v>14.7</v>
      </c>
      <c r="K5" s="123">
        <v>2.14</v>
      </c>
      <c r="L5" s="123">
        <f>J5+K5</f>
        <v>16.84</v>
      </c>
      <c r="M5" s="444">
        <v>0.56999999999999995</v>
      </c>
      <c r="N5" s="444">
        <f>M5*34.12</f>
        <v>19.448399999999996</v>
      </c>
    </row>
    <row r="6" spans="1:16" ht="21.95" customHeight="1">
      <c r="A6" s="22"/>
      <c r="B6" s="54" t="s">
        <v>832</v>
      </c>
      <c r="C6" s="22">
        <v>2</v>
      </c>
      <c r="D6" s="58" t="s">
        <v>460</v>
      </c>
      <c r="E6" s="22">
        <v>62</v>
      </c>
      <c r="F6" s="45">
        <v>0.56000000000000005</v>
      </c>
      <c r="G6" s="303"/>
      <c r="H6" s="22">
        <v>50</v>
      </c>
      <c r="I6" s="22">
        <v>1</v>
      </c>
      <c r="J6" s="98">
        <v>17.399999999999999</v>
      </c>
      <c r="K6" s="98">
        <v>2.68</v>
      </c>
      <c r="L6" s="98">
        <f t="shared" ref="L6:L55" si="0">J6+K6</f>
        <v>20.079999999999998</v>
      </c>
      <c r="M6" s="445">
        <v>0.56999999999999995</v>
      </c>
      <c r="N6" s="445">
        <f t="shared" ref="N6:N23" si="1">M6*34.12</f>
        <v>19.448399999999996</v>
      </c>
    </row>
    <row r="7" spans="1:16" ht="21.95" customHeight="1">
      <c r="A7" s="22"/>
      <c r="B7" s="22"/>
      <c r="C7" s="22">
        <v>3</v>
      </c>
      <c r="D7" s="58" t="s">
        <v>461</v>
      </c>
      <c r="E7" s="22">
        <v>64</v>
      </c>
      <c r="F7" s="45">
        <v>0.56000000000000005</v>
      </c>
      <c r="G7" s="303"/>
      <c r="H7" s="22">
        <v>50</v>
      </c>
      <c r="I7" s="22">
        <v>1</v>
      </c>
      <c r="J7" s="98">
        <v>17.399999999999999</v>
      </c>
      <c r="K7" s="98">
        <v>2.68</v>
      </c>
      <c r="L7" s="98">
        <f t="shared" si="0"/>
        <v>20.079999999999998</v>
      </c>
      <c r="M7" s="445">
        <v>0.56999999999999995</v>
      </c>
      <c r="N7" s="445">
        <f t="shared" si="1"/>
        <v>19.448399999999996</v>
      </c>
      <c r="O7" s="292">
        <v>9</v>
      </c>
      <c r="P7" s="292">
        <f>SUM(N7:O7)</f>
        <v>28.448399999999996</v>
      </c>
    </row>
    <row r="8" spans="1:16" ht="21.95" customHeight="1">
      <c r="A8" s="22"/>
      <c r="B8" s="22"/>
      <c r="C8" s="22">
        <v>4</v>
      </c>
      <c r="D8" s="58" t="s">
        <v>114</v>
      </c>
      <c r="E8" s="22">
        <v>60</v>
      </c>
      <c r="F8" s="45">
        <v>0.38</v>
      </c>
      <c r="G8" s="303"/>
      <c r="H8" s="22">
        <v>100</v>
      </c>
      <c r="I8" s="22">
        <v>1</v>
      </c>
      <c r="J8" s="98">
        <v>15.7</v>
      </c>
      <c r="K8" s="98">
        <v>2.14</v>
      </c>
      <c r="L8" s="98">
        <f t="shared" si="0"/>
        <v>17.84</v>
      </c>
      <c r="M8" s="445">
        <v>0.76</v>
      </c>
      <c r="N8" s="445">
        <f t="shared" si="1"/>
        <v>25.931199999999997</v>
      </c>
      <c r="O8" s="292">
        <v>1</v>
      </c>
      <c r="P8" s="292">
        <f>SUM(N8:O8)</f>
        <v>26.931199999999997</v>
      </c>
    </row>
    <row r="9" spans="1:16" ht="21.95" customHeight="1">
      <c r="A9" s="22"/>
      <c r="B9" s="22"/>
      <c r="C9" s="22">
        <v>5</v>
      </c>
      <c r="D9" s="58" t="s">
        <v>462</v>
      </c>
      <c r="E9" s="22">
        <v>61</v>
      </c>
      <c r="F9" s="45">
        <v>0.38</v>
      </c>
      <c r="G9" s="303"/>
      <c r="H9" s="22">
        <v>100</v>
      </c>
      <c r="I9" s="22">
        <v>1</v>
      </c>
      <c r="J9" s="98">
        <v>15.7</v>
      </c>
      <c r="K9" s="98">
        <v>2.14</v>
      </c>
      <c r="L9" s="98">
        <f t="shared" si="0"/>
        <v>17.84</v>
      </c>
      <c r="M9" s="445">
        <v>0.76</v>
      </c>
      <c r="N9" s="445">
        <f t="shared" si="1"/>
        <v>25.931199999999997</v>
      </c>
      <c r="O9" s="292"/>
      <c r="P9" s="292">
        <f>SUM(P7:P8)</f>
        <v>55.379599999999996</v>
      </c>
    </row>
    <row r="10" spans="1:16" ht="21.95" customHeight="1">
      <c r="A10" s="22"/>
      <c r="B10" s="22"/>
      <c r="C10" s="22">
        <v>6</v>
      </c>
      <c r="D10" s="58" t="s">
        <v>463</v>
      </c>
      <c r="E10" s="22">
        <v>48</v>
      </c>
      <c r="F10" s="45">
        <v>0.38</v>
      </c>
      <c r="G10" s="303"/>
      <c r="H10" s="22">
        <v>50</v>
      </c>
      <c r="I10" s="22">
        <v>1</v>
      </c>
      <c r="J10" s="98">
        <v>14.7</v>
      </c>
      <c r="K10" s="98">
        <v>2.14</v>
      </c>
      <c r="L10" s="98">
        <f t="shared" si="0"/>
        <v>16.84</v>
      </c>
      <c r="M10" s="445">
        <v>0.56999999999999995</v>
      </c>
      <c r="N10" s="445">
        <f t="shared" si="1"/>
        <v>19.448399999999996</v>
      </c>
    </row>
    <row r="11" spans="1:16" ht="21.95" customHeight="1">
      <c r="A11" s="22"/>
      <c r="B11" s="22"/>
      <c r="C11" s="22">
        <v>7</v>
      </c>
      <c r="D11" s="58" t="s">
        <v>330</v>
      </c>
      <c r="E11" s="22">
        <v>34</v>
      </c>
      <c r="F11" s="45">
        <v>0.38</v>
      </c>
      <c r="G11" s="303"/>
      <c r="H11" s="22">
        <v>50</v>
      </c>
      <c r="I11" s="22">
        <v>1</v>
      </c>
      <c r="J11" s="98">
        <v>14.7</v>
      </c>
      <c r="K11" s="98">
        <v>2.14</v>
      </c>
      <c r="L11" s="98">
        <f t="shared" si="0"/>
        <v>16.84</v>
      </c>
      <c r="M11" s="445">
        <v>0.56999999999999995</v>
      </c>
      <c r="N11" s="445">
        <f t="shared" si="1"/>
        <v>19.448399999999996</v>
      </c>
    </row>
    <row r="12" spans="1:16" ht="21.95" customHeight="1">
      <c r="A12" s="22"/>
      <c r="B12" s="22"/>
      <c r="C12" s="22">
        <v>8</v>
      </c>
      <c r="D12" s="58" t="s">
        <v>464</v>
      </c>
      <c r="E12" s="22">
        <v>142</v>
      </c>
      <c r="F12" s="45">
        <v>1</v>
      </c>
      <c r="G12" s="303"/>
      <c r="H12" s="281">
        <v>100</v>
      </c>
      <c r="I12" s="22">
        <v>1</v>
      </c>
      <c r="J12" s="98">
        <v>25</v>
      </c>
      <c r="K12" s="98">
        <v>4</v>
      </c>
      <c r="L12" s="98">
        <f t="shared" si="0"/>
        <v>29</v>
      </c>
      <c r="M12" s="445">
        <v>0.76</v>
      </c>
      <c r="N12" s="445">
        <f t="shared" si="1"/>
        <v>25.931199999999997</v>
      </c>
    </row>
    <row r="13" spans="1:16" ht="21.95" customHeight="1">
      <c r="A13" s="22"/>
      <c r="B13" s="22"/>
      <c r="C13" s="22">
        <v>9</v>
      </c>
      <c r="D13" s="58" t="s">
        <v>423</v>
      </c>
      <c r="E13" s="22">
        <v>134</v>
      </c>
      <c r="F13" s="45">
        <v>1</v>
      </c>
      <c r="G13" s="303"/>
      <c r="H13" s="22">
        <v>100</v>
      </c>
      <c r="I13" s="22">
        <v>1</v>
      </c>
      <c r="J13" s="98">
        <v>25</v>
      </c>
      <c r="K13" s="98">
        <v>4</v>
      </c>
      <c r="L13" s="98">
        <f t="shared" si="0"/>
        <v>29</v>
      </c>
      <c r="M13" s="445">
        <v>0.76</v>
      </c>
      <c r="N13" s="445">
        <f t="shared" si="1"/>
        <v>25.931199999999997</v>
      </c>
    </row>
    <row r="14" spans="1:16" ht="21.95" customHeight="1">
      <c r="A14" s="22"/>
      <c r="B14" s="22"/>
      <c r="C14" s="22">
        <v>10</v>
      </c>
      <c r="D14" s="58" t="s">
        <v>434</v>
      </c>
      <c r="E14" s="22">
        <v>131</v>
      </c>
      <c r="F14" s="45">
        <v>0.75</v>
      </c>
      <c r="G14" s="303"/>
      <c r="H14" s="22">
        <v>100</v>
      </c>
      <c r="I14" s="22">
        <v>1</v>
      </c>
      <c r="J14" s="98">
        <v>21.25</v>
      </c>
      <c r="K14" s="98">
        <v>3.25</v>
      </c>
      <c r="L14" s="98">
        <f t="shared" si="0"/>
        <v>24.5</v>
      </c>
      <c r="M14" s="445">
        <v>0.76</v>
      </c>
      <c r="N14" s="445">
        <f t="shared" si="1"/>
        <v>25.931199999999997</v>
      </c>
    </row>
    <row r="15" spans="1:16" ht="21.95" customHeight="1">
      <c r="A15" s="22"/>
      <c r="B15" s="22"/>
      <c r="C15" s="22">
        <v>11</v>
      </c>
      <c r="D15" s="58" t="s">
        <v>465</v>
      </c>
      <c r="E15" s="22">
        <v>75</v>
      </c>
      <c r="F15" s="45">
        <v>1.5</v>
      </c>
      <c r="G15" s="303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45">
        <v>0.56999999999999995</v>
      </c>
      <c r="N15" s="445">
        <f t="shared" si="1"/>
        <v>19.448399999999996</v>
      </c>
    </row>
    <row r="16" spans="1:16" ht="21.95" customHeight="1">
      <c r="A16" s="22"/>
      <c r="B16" s="22"/>
      <c r="C16" s="22">
        <v>12</v>
      </c>
      <c r="D16" s="58" t="s">
        <v>256</v>
      </c>
      <c r="E16" s="22">
        <v>175</v>
      </c>
      <c r="F16" s="45">
        <v>0.38</v>
      </c>
      <c r="G16" s="303"/>
      <c r="H16" s="22">
        <v>100</v>
      </c>
      <c r="I16" s="22">
        <v>1</v>
      </c>
      <c r="J16" s="98">
        <v>15.7</v>
      </c>
      <c r="K16" s="98">
        <v>2.14</v>
      </c>
      <c r="L16" s="98">
        <f t="shared" si="0"/>
        <v>17.84</v>
      </c>
      <c r="M16" s="445">
        <v>0.76</v>
      </c>
      <c r="N16" s="445">
        <f t="shared" si="1"/>
        <v>25.931199999999997</v>
      </c>
    </row>
    <row r="17" spans="1:14" ht="21.95" customHeight="1">
      <c r="A17" s="22"/>
      <c r="B17" s="22"/>
      <c r="C17" s="22">
        <v>13</v>
      </c>
      <c r="D17" s="58" t="s">
        <v>264</v>
      </c>
      <c r="E17" s="22">
        <v>110</v>
      </c>
      <c r="F17" s="45">
        <v>0.5</v>
      </c>
      <c r="G17" s="303"/>
      <c r="H17" s="22">
        <v>100</v>
      </c>
      <c r="I17" s="22">
        <v>1</v>
      </c>
      <c r="J17" s="98">
        <v>17.5</v>
      </c>
      <c r="K17" s="98">
        <v>2.5</v>
      </c>
      <c r="L17" s="98">
        <f t="shared" si="0"/>
        <v>20</v>
      </c>
      <c r="M17" s="445">
        <v>0.76</v>
      </c>
      <c r="N17" s="445">
        <f t="shared" si="1"/>
        <v>25.931199999999997</v>
      </c>
    </row>
    <row r="18" spans="1:14" ht="21.95" customHeight="1">
      <c r="A18" s="22"/>
      <c r="B18" s="22"/>
      <c r="C18" s="22">
        <v>14</v>
      </c>
      <c r="D18" s="58" t="s">
        <v>466</v>
      </c>
      <c r="E18" s="22">
        <v>102</v>
      </c>
      <c r="F18" s="45">
        <v>0.5</v>
      </c>
      <c r="G18" s="303"/>
      <c r="H18" s="22">
        <v>100</v>
      </c>
      <c r="I18" s="22">
        <v>1</v>
      </c>
      <c r="J18" s="98">
        <v>17.5</v>
      </c>
      <c r="K18" s="98">
        <v>2.5</v>
      </c>
      <c r="L18" s="98">
        <f t="shared" si="0"/>
        <v>20</v>
      </c>
      <c r="M18" s="445">
        <v>0.76</v>
      </c>
      <c r="N18" s="445">
        <f t="shared" si="1"/>
        <v>25.931199999999997</v>
      </c>
    </row>
    <row r="19" spans="1:14" ht="21.95" customHeight="1">
      <c r="A19" s="22"/>
      <c r="B19" s="22"/>
      <c r="C19" s="22">
        <v>15</v>
      </c>
      <c r="D19" s="58" t="s">
        <v>467</v>
      </c>
      <c r="E19" s="22">
        <v>86</v>
      </c>
      <c r="F19" s="45">
        <v>1</v>
      </c>
      <c r="G19" s="303"/>
      <c r="H19" s="22">
        <v>100</v>
      </c>
      <c r="I19" s="22">
        <v>1</v>
      </c>
      <c r="J19" s="98">
        <v>25</v>
      </c>
      <c r="K19" s="98">
        <v>4</v>
      </c>
      <c r="L19" s="98">
        <f t="shared" si="0"/>
        <v>29</v>
      </c>
      <c r="M19" s="445">
        <v>0.76</v>
      </c>
      <c r="N19" s="445">
        <f t="shared" si="1"/>
        <v>25.931199999999997</v>
      </c>
    </row>
    <row r="20" spans="1:14" ht="21.95" customHeight="1">
      <c r="A20" s="22"/>
      <c r="B20" s="22"/>
      <c r="C20" s="22">
        <v>16</v>
      </c>
      <c r="D20" s="58" t="s">
        <v>468</v>
      </c>
      <c r="E20" s="22">
        <v>62</v>
      </c>
      <c r="F20" s="45">
        <v>0.05</v>
      </c>
      <c r="G20" s="303"/>
      <c r="H20" s="22">
        <v>100</v>
      </c>
      <c r="I20" s="22">
        <v>1</v>
      </c>
      <c r="J20" s="98">
        <v>10.75</v>
      </c>
      <c r="K20" s="98">
        <v>1.1499999999999999</v>
      </c>
      <c r="L20" s="98">
        <f t="shared" si="0"/>
        <v>11.9</v>
      </c>
      <c r="M20" s="445">
        <v>0.76</v>
      </c>
      <c r="N20" s="445">
        <f t="shared" si="1"/>
        <v>25.931199999999997</v>
      </c>
    </row>
    <row r="21" spans="1:14" ht="21.95" customHeight="1">
      <c r="A21" s="22"/>
      <c r="B21" s="22"/>
      <c r="C21" s="22">
        <v>17</v>
      </c>
      <c r="D21" s="58" t="s">
        <v>469</v>
      </c>
      <c r="E21" s="22">
        <v>50</v>
      </c>
      <c r="F21" s="45">
        <v>1</v>
      </c>
      <c r="G21" s="303"/>
      <c r="H21" s="22">
        <v>50</v>
      </c>
      <c r="I21" s="22">
        <v>1</v>
      </c>
      <c r="J21" s="98">
        <v>24</v>
      </c>
      <c r="K21" s="98">
        <v>4</v>
      </c>
      <c r="L21" s="98">
        <f t="shared" si="0"/>
        <v>28</v>
      </c>
      <c r="M21" s="445">
        <v>0.56999999999999995</v>
      </c>
      <c r="N21" s="445">
        <f t="shared" si="1"/>
        <v>19.448399999999996</v>
      </c>
    </row>
    <row r="22" spans="1:14" ht="21.95" customHeight="1">
      <c r="A22" s="22"/>
      <c r="B22" s="22"/>
      <c r="C22" s="22">
        <v>18</v>
      </c>
      <c r="D22" s="58" t="s">
        <v>470</v>
      </c>
      <c r="E22" s="22">
        <v>50</v>
      </c>
      <c r="F22" s="45">
        <v>0.7</v>
      </c>
      <c r="G22" s="303"/>
      <c r="H22" s="22">
        <v>50</v>
      </c>
      <c r="I22" s="22">
        <v>1</v>
      </c>
      <c r="J22" s="98">
        <v>19.5</v>
      </c>
      <c r="K22" s="98">
        <v>3.1</v>
      </c>
      <c r="L22" s="98">
        <f t="shared" si="0"/>
        <v>22.6</v>
      </c>
      <c r="M22" s="445">
        <v>0.56999999999999995</v>
      </c>
      <c r="N22" s="445">
        <f t="shared" si="1"/>
        <v>19.448399999999996</v>
      </c>
    </row>
    <row r="23" spans="1:14" ht="21.95" customHeight="1">
      <c r="A23" s="29"/>
      <c r="B23" s="29"/>
      <c r="C23" s="29">
        <v>19</v>
      </c>
      <c r="D23" s="308" t="s">
        <v>471</v>
      </c>
      <c r="E23" s="29">
        <v>58</v>
      </c>
      <c r="F23" s="46">
        <v>1</v>
      </c>
      <c r="G23" s="304"/>
      <c r="H23" s="29">
        <v>50</v>
      </c>
      <c r="I23" s="29">
        <v>1</v>
      </c>
      <c r="J23" s="102">
        <v>24</v>
      </c>
      <c r="K23" s="102">
        <v>4</v>
      </c>
      <c r="L23" s="102">
        <f t="shared" si="0"/>
        <v>28</v>
      </c>
      <c r="M23" s="446">
        <v>0.56999999999999995</v>
      </c>
      <c r="N23" s="446">
        <f t="shared" si="1"/>
        <v>19.448399999999996</v>
      </c>
    </row>
    <row r="24" spans="1:14">
      <c r="A24" s="645" t="s">
        <v>458</v>
      </c>
      <c r="B24" s="645"/>
      <c r="C24" s="645"/>
      <c r="D24" s="645"/>
      <c r="E24" s="645"/>
      <c r="F24" s="645"/>
      <c r="G24" s="645"/>
      <c r="H24" s="645"/>
      <c r="I24" s="645"/>
      <c r="J24" s="645"/>
      <c r="K24" s="645"/>
      <c r="L24" s="645"/>
    </row>
    <row r="25" spans="1:14" s="5" customFormat="1" ht="27.75" customHeight="1">
      <c r="A25" s="654" t="s">
        <v>1</v>
      </c>
      <c r="B25" s="632" t="s">
        <v>755</v>
      </c>
      <c r="C25" s="646" t="s">
        <v>21</v>
      </c>
      <c r="D25" s="647"/>
      <c r="E25" s="652" t="s">
        <v>756</v>
      </c>
      <c r="F25" s="654" t="s">
        <v>3</v>
      </c>
      <c r="G25" s="654"/>
      <c r="H25" s="654"/>
      <c r="I25" s="654"/>
      <c r="J25" s="654" t="s">
        <v>761</v>
      </c>
      <c r="K25" s="654"/>
      <c r="L25" s="654"/>
      <c r="M25" s="746" t="s">
        <v>752</v>
      </c>
      <c r="N25" s="747"/>
    </row>
    <row r="26" spans="1:14" s="5" customFormat="1" ht="40.5" customHeight="1">
      <c r="A26" s="654"/>
      <c r="B26" s="633"/>
      <c r="C26" s="648"/>
      <c r="D26" s="649"/>
      <c r="E26" s="652"/>
      <c r="F26" s="652" t="s">
        <v>757</v>
      </c>
      <c r="G26" s="652" t="s">
        <v>5</v>
      </c>
      <c r="H26" s="652" t="s">
        <v>6</v>
      </c>
      <c r="I26" s="652"/>
      <c r="J26" s="652" t="s">
        <v>22</v>
      </c>
      <c r="K26" s="652" t="s">
        <v>762</v>
      </c>
      <c r="L26" s="654" t="s">
        <v>8</v>
      </c>
      <c r="M26" s="748"/>
      <c r="N26" s="749"/>
    </row>
    <row r="27" spans="1:14" s="5" customFormat="1" ht="58.5" customHeight="1">
      <c r="A27" s="632"/>
      <c r="B27" s="634"/>
      <c r="C27" s="650"/>
      <c r="D27" s="651"/>
      <c r="E27" s="653"/>
      <c r="F27" s="653"/>
      <c r="G27" s="653"/>
      <c r="H27" s="381" t="s">
        <v>9</v>
      </c>
      <c r="I27" s="381" t="s">
        <v>10</v>
      </c>
      <c r="J27" s="653"/>
      <c r="K27" s="632"/>
      <c r="L27" s="632"/>
      <c r="M27" s="439" t="s">
        <v>753</v>
      </c>
      <c r="N27" s="440" t="s">
        <v>754</v>
      </c>
    </row>
    <row r="28" spans="1:14" ht="21.95" customHeight="1">
      <c r="A28" s="15"/>
      <c r="B28" s="35" t="s">
        <v>18</v>
      </c>
      <c r="C28" s="15">
        <v>20</v>
      </c>
      <c r="D28" s="301" t="s">
        <v>472</v>
      </c>
      <c r="E28" s="15">
        <v>50</v>
      </c>
      <c r="F28" s="44">
        <v>0.1</v>
      </c>
      <c r="G28" s="302"/>
      <c r="H28" s="15">
        <v>50</v>
      </c>
      <c r="I28" s="15">
        <v>1</v>
      </c>
      <c r="J28" s="123">
        <v>10.5</v>
      </c>
      <c r="K28" s="123">
        <v>1.3</v>
      </c>
      <c r="L28" s="123">
        <f t="shared" si="0"/>
        <v>11.8</v>
      </c>
      <c r="M28" s="444">
        <v>0.56999999999999995</v>
      </c>
      <c r="N28" s="444">
        <f t="shared" ref="N28:N46" si="2">M28*34.12</f>
        <v>19.448399999999996</v>
      </c>
    </row>
    <row r="29" spans="1:14" ht="21.95" customHeight="1">
      <c r="A29" s="22"/>
      <c r="B29" s="54" t="s">
        <v>832</v>
      </c>
      <c r="C29" s="22">
        <v>21</v>
      </c>
      <c r="D29" s="58" t="s">
        <v>473</v>
      </c>
      <c r="E29" s="22">
        <v>70</v>
      </c>
      <c r="F29" s="45">
        <v>0.6</v>
      </c>
      <c r="G29" s="303"/>
      <c r="H29" s="22">
        <v>50</v>
      </c>
      <c r="I29" s="22">
        <v>1</v>
      </c>
      <c r="J29" s="98">
        <v>18</v>
      </c>
      <c r="K29" s="98">
        <v>2.8</v>
      </c>
      <c r="L29" s="98">
        <f t="shared" si="0"/>
        <v>20.8</v>
      </c>
      <c r="M29" s="445">
        <v>0.56999999999999995</v>
      </c>
      <c r="N29" s="445">
        <f t="shared" si="2"/>
        <v>19.448399999999996</v>
      </c>
    </row>
    <row r="30" spans="1:14" ht="21.95" customHeight="1">
      <c r="A30" s="22"/>
      <c r="B30" s="22"/>
      <c r="C30" s="22">
        <v>22</v>
      </c>
      <c r="D30" s="58" t="s">
        <v>474</v>
      </c>
      <c r="E30" s="22">
        <v>79</v>
      </c>
      <c r="F30" s="45">
        <v>0.4</v>
      </c>
      <c r="G30" s="303"/>
      <c r="H30" s="22">
        <v>50</v>
      </c>
      <c r="I30" s="22">
        <v>1</v>
      </c>
      <c r="J30" s="98">
        <v>15</v>
      </c>
      <c r="K30" s="98">
        <v>2.2000000000000002</v>
      </c>
      <c r="L30" s="98">
        <f t="shared" si="0"/>
        <v>17.2</v>
      </c>
      <c r="M30" s="445">
        <v>0.56999999999999995</v>
      </c>
      <c r="N30" s="445">
        <f t="shared" si="2"/>
        <v>19.448399999999996</v>
      </c>
    </row>
    <row r="31" spans="1:14" ht="21.95" customHeight="1">
      <c r="A31" s="22"/>
      <c r="B31" s="22"/>
      <c r="C31" s="22">
        <v>23</v>
      </c>
      <c r="D31" s="58" t="s">
        <v>23</v>
      </c>
      <c r="E31" s="22">
        <v>62</v>
      </c>
      <c r="F31" s="45">
        <v>0.57999999999999996</v>
      </c>
      <c r="G31" s="303"/>
      <c r="H31" s="22">
        <v>50</v>
      </c>
      <c r="I31" s="22">
        <v>1</v>
      </c>
      <c r="J31" s="98">
        <v>17.7</v>
      </c>
      <c r="K31" s="98">
        <v>2.74</v>
      </c>
      <c r="L31" s="98">
        <f t="shared" si="0"/>
        <v>20.439999999999998</v>
      </c>
      <c r="M31" s="445">
        <v>0.56999999999999995</v>
      </c>
      <c r="N31" s="445">
        <f t="shared" si="2"/>
        <v>19.448399999999996</v>
      </c>
    </row>
    <row r="32" spans="1:14" ht="21.95" customHeight="1">
      <c r="A32" s="22"/>
      <c r="B32" s="22"/>
      <c r="C32" s="22">
        <v>24</v>
      </c>
      <c r="D32" s="58" t="s">
        <v>475</v>
      </c>
      <c r="E32" s="22">
        <v>105</v>
      </c>
      <c r="F32" s="45">
        <v>0.57999999999999996</v>
      </c>
      <c r="G32" s="303"/>
      <c r="H32" s="22">
        <v>100</v>
      </c>
      <c r="I32" s="22">
        <v>1</v>
      </c>
      <c r="J32" s="98">
        <v>18.7</v>
      </c>
      <c r="K32" s="98">
        <v>2.74</v>
      </c>
      <c r="L32" s="98">
        <f t="shared" si="0"/>
        <v>21.439999999999998</v>
      </c>
      <c r="M32" s="445">
        <v>0.76</v>
      </c>
      <c r="N32" s="445">
        <f t="shared" si="2"/>
        <v>25.931199999999997</v>
      </c>
    </row>
    <row r="33" spans="1:14" ht="21.95" customHeight="1">
      <c r="A33" s="22"/>
      <c r="B33" s="22"/>
      <c r="C33" s="22">
        <v>25</v>
      </c>
      <c r="D33" s="58" t="s">
        <v>476</v>
      </c>
      <c r="E33" s="22">
        <v>50</v>
      </c>
      <c r="F33" s="45">
        <v>0.57999999999999996</v>
      </c>
      <c r="G33" s="303"/>
      <c r="H33" s="22">
        <v>50</v>
      </c>
      <c r="I33" s="22">
        <v>1</v>
      </c>
      <c r="J33" s="98">
        <v>17.7</v>
      </c>
      <c r="K33" s="98">
        <v>2.8</v>
      </c>
      <c r="L33" s="98">
        <f t="shared" si="0"/>
        <v>20.5</v>
      </c>
      <c r="M33" s="445">
        <v>0.56999999999999995</v>
      </c>
      <c r="N33" s="445">
        <f t="shared" si="2"/>
        <v>19.448399999999996</v>
      </c>
    </row>
    <row r="34" spans="1:14" ht="21.95" customHeight="1">
      <c r="A34" s="22"/>
      <c r="B34" s="22"/>
      <c r="C34" s="22">
        <v>26</v>
      </c>
      <c r="D34" s="58" t="s">
        <v>70</v>
      </c>
      <c r="E34" s="22">
        <v>167</v>
      </c>
      <c r="F34" s="45">
        <v>0.3</v>
      </c>
      <c r="G34" s="303"/>
      <c r="H34" s="22">
        <v>160</v>
      </c>
      <c r="I34" s="22">
        <v>1</v>
      </c>
      <c r="J34" s="98">
        <v>15.5</v>
      </c>
      <c r="K34" s="98">
        <v>1.9</v>
      </c>
      <c r="L34" s="98">
        <f t="shared" si="0"/>
        <v>17.399999999999999</v>
      </c>
      <c r="M34" s="445">
        <v>0.8</v>
      </c>
      <c r="N34" s="445">
        <f t="shared" si="2"/>
        <v>27.295999999999999</v>
      </c>
    </row>
    <row r="35" spans="1:14" ht="21.95" customHeight="1">
      <c r="A35" s="22"/>
      <c r="B35" s="22"/>
      <c r="C35" s="22">
        <v>27</v>
      </c>
      <c r="D35" s="58" t="s">
        <v>477</v>
      </c>
      <c r="E35" s="22">
        <v>79</v>
      </c>
      <c r="F35" s="45">
        <v>0.57999999999999996</v>
      </c>
      <c r="G35" s="303"/>
      <c r="H35" s="22">
        <v>100</v>
      </c>
      <c r="I35" s="22">
        <v>1</v>
      </c>
      <c r="J35" s="98">
        <v>18.7</v>
      </c>
      <c r="K35" s="98">
        <v>2.74</v>
      </c>
      <c r="L35" s="98">
        <f t="shared" si="0"/>
        <v>21.439999999999998</v>
      </c>
      <c r="M35" s="445">
        <v>0.76</v>
      </c>
      <c r="N35" s="445">
        <f t="shared" si="2"/>
        <v>25.931199999999997</v>
      </c>
    </row>
    <row r="36" spans="1:14" ht="21.95" customHeight="1">
      <c r="A36" s="22"/>
      <c r="B36" s="22"/>
      <c r="C36" s="22">
        <v>28</v>
      </c>
      <c r="D36" s="58" t="s">
        <v>478</v>
      </c>
      <c r="E36" s="22">
        <v>58</v>
      </c>
      <c r="F36" s="45">
        <v>0.3</v>
      </c>
      <c r="G36" s="303"/>
      <c r="H36" s="22">
        <v>50</v>
      </c>
      <c r="I36" s="22">
        <v>1</v>
      </c>
      <c r="J36" s="98">
        <v>13.5</v>
      </c>
      <c r="K36" s="98">
        <v>1.9</v>
      </c>
      <c r="L36" s="98">
        <f t="shared" si="0"/>
        <v>15.4</v>
      </c>
      <c r="M36" s="445">
        <v>0.56999999999999995</v>
      </c>
      <c r="N36" s="445">
        <f t="shared" si="2"/>
        <v>19.448399999999996</v>
      </c>
    </row>
    <row r="37" spans="1:14" ht="21.95" customHeight="1">
      <c r="A37" s="22"/>
      <c r="B37" s="22"/>
      <c r="C37" s="22">
        <v>29</v>
      </c>
      <c r="D37" s="58" t="s">
        <v>479</v>
      </c>
      <c r="E37" s="22">
        <v>86</v>
      </c>
      <c r="F37" s="45">
        <v>0.5</v>
      </c>
      <c r="G37" s="303"/>
      <c r="H37" s="22">
        <v>50</v>
      </c>
      <c r="I37" s="22">
        <v>1</v>
      </c>
      <c r="J37" s="98">
        <v>16.5</v>
      </c>
      <c r="K37" s="98">
        <v>2.5</v>
      </c>
      <c r="L37" s="98">
        <f t="shared" si="0"/>
        <v>19</v>
      </c>
      <c r="M37" s="445">
        <v>0.56999999999999995</v>
      </c>
      <c r="N37" s="445">
        <f t="shared" si="2"/>
        <v>19.448399999999996</v>
      </c>
    </row>
    <row r="38" spans="1:14" ht="21.95" customHeight="1">
      <c r="A38" s="22"/>
      <c r="B38" s="22"/>
      <c r="C38" s="22">
        <v>30</v>
      </c>
      <c r="D38" s="58" t="s">
        <v>480</v>
      </c>
      <c r="E38" s="22">
        <v>69</v>
      </c>
      <c r="F38" s="45">
        <v>0.8</v>
      </c>
      <c r="G38" s="303"/>
      <c r="H38" s="22">
        <v>50</v>
      </c>
      <c r="I38" s="22">
        <v>1</v>
      </c>
      <c r="J38" s="98">
        <v>21</v>
      </c>
      <c r="K38" s="98">
        <v>3.4</v>
      </c>
      <c r="L38" s="98">
        <f t="shared" si="0"/>
        <v>24.4</v>
      </c>
      <c r="M38" s="445">
        <v>0.56999999999999995</v>
      </c>
      <c r="N38" s="445">
        <f t="shared" si="2"/>
        <v>19.448399999999996</v>
      </c>
    </row>
    <row r="39" spans="1:14" ht="21.95" customHeight="1">
      <c r="A39" s="22"/>
      <c r="B39" s="22"/>
      <c r="C39" s="22">
        <v>31</v>
      </c>
      <c r="D39" s="58" t="s">
        <v>481</v>
      </c>
      <c r="E39" s="22">
        <v>50</v>
      </c>
      <c r="F39" s="45">
        <v>0.94</v>
      </c>
      <c r="G39" s="303"/>
      <c r="H39" s="22">
        <v>50</v>
      </c>
      <c r="I39" s="22">
        <v>1</v>
      </c>
      <c r="J39" s="98">
        <v>23.1</v>
      </c>
      <c r="K39" s="98">
        <v>3.82</v>
      </c>
      <c r="L39" s="98">
        <f t="shared" si="0"/>
        <v>26.92</v>
      </c>
      <c r="M39" s="445">
        <v>0.56999999999999995</v>
      </c>
      <c r="N39" s="445">
        <f t="shared" si="2"/>
        <v>19.448399999999996</v>
      </c>
    </row>
    <row r="40" spans="1:14" ht="21.95" customHeight="1">
      <c r="A40" s="22"/>
      <c r="B40" s="22"/>
      <c r="C40" s="22">
        <v>32</v>
      </c>
      <c r="D40" s="58" t="s">
        <v>478</v>
      </c>
      <c r="E40" s="22">
        <v>68</v>
      </c>
      <c r="F40" s="45">
        <v>0.5</v>
      </c>
      <c r="G40" s="303"/>
      <c r="H40" s="22">
        <v>50</v>
      </c>
      <c r="I40" s="22">
        <v>1</v>
      </c>
      <c r="J40" s="98">
        <v>16.5</v>
      </c>
      <c r="K40" s="98">
        <v>2.5</v>
      </c>
      <c r="L40" s="98">
        <f t="shared" si="0"/>
        <v>19</v>
      </c>
      <c r="M40" s="445">
        <v>0.56999999999999995</v>
      </c>
      <c r="N40" s="445">
        <f t="shared" si="2"/>
        <v>19.448399999999996</v>
      </c>
    </row>
    <row r="41" spans="1:14" ht="21.95" customHeight="1">
      <c r="A41" s="22"/>
      <c r="B41" s="22"/>
      <c r="C41" s="22">
        <v>33</v>
      </c>
      <c r="D41" s="58" t="s">
        <v>482</v>
      </c>
      <c r="E41" s="22">
        <v>65</v>
      </c>
      <c r="F41" s="45">
        <v>0.56000000000000005</v>
      </c>
      <c r="G41" s="303"/>
      <c r="H41" s="22">
        <v>50</v>
      </c>
      <c r="I41" s="22">
        <v>1</v>
      </c>
      <c r="J41" s="98">
        <v>17.399999999999999</v>
      </c>
      <c r="K41" s="98">
        <v>2.68</v>
      </c>
      <c r="L41" s="98">
        <f t="shared" si="0"/>
        <v>20.079999999999998</v>
      </c>
      <c r="M41" s="445">
        <v>0.56999999999999995</v>
      </c>
      <c r="N41" s="445">
        <f t="shared" si="2"/>
        <v>19.448399999999996</v>
      </c>
    </row>
    <row r="42" spans="1:14" ht="21.95" customHeight="1">
      <c r="A42" s="22"/>
      <c r="B42" s="22"/>
      <c r="C42" s="22">
        <v>34</v>
      </c>
      <c r="D42" s="58" t="s">
        <v>131</v>
      </c>
      <c r="E42" s="22">
        <v>50</v>
      </c>
      <c r="F42" s="45">
        <v>0.42</v>
      </c>
      <c r="G42" s="303"/>
      <c r="H42" s="22">
        <v>50</v>
      </c>
      <c r="I42" s="22">
        <v>1</v>
      </c>
      <c r="J42" s="98">
        <v>15.3</v>
      </c>
      <c r="K42" s="98">
        <v>2.2599999999999998</v>
      </c>
      <c r="L42" s="98">
        <f t="shared" si="0"/>
        <v>17.560000000000002</v>
      </c>
      <c r="M42" s="445">
        <v>0.56999999999999995</v>
      </c>
      <c r="N42" s="445">
        <f t="shared" si="2"/>
        <v>19.448399999999996</v>
      </c>
    </row>
    <row r="43" spans="1:14" ht="21.95" customHeight="1">
      <c r="A43" s="22"/>
      <c r="B43" s="22"/>
      <c r="C43" s="22">
        <v>35</v>
      </c>
      <c r="D43" s="58" t="s">
        <v>483</v>
      </c>
      <c r="E43" s="22">
        <v>182</v>
      </c>
      <c r="F43" s="45">
        <v>0.82</v>
      </c>
      <c r="G43" s="303"/>
      <c r="H43" s="22">
        <v>100</v>
      </c>
      <c r="I43" s="22">
        <v>1</v>
      </c>
      <c r="J43" s="98">
        <v>22.3</v>
      </c>
      <c r="K43" s="98">
        <v>3.46</v>
      </c>
      <c r="L43" s="98">
        <f t="shared" si="0"/>
        <v>25.76</v>
      </c>
      <c r="M43" s="445">
        <v>0.76</v>
      </c>
      <c r="N43" s="445">
        <f t="shared" si="2"/>
        <v>25.931199999999997</v>
      </c>
    </row>
    <row r="44" spans="1:14" ht="21.95" customHeight="1">
      <c r="A44" s="22"/>
      <c r="B44" s="22"/>
      <c r="C44" s="22">
        <v>36</v>
      </c>
      <c r="D44" s="58" t="s">
        <v>484</v>
      </c>
      <c r="E44" s="22">
        <v>60</v>
      </c>
      <c r="F44" s="45">
        <v>0.4</v>
      </c>
      <c r="G44" s="303"/>
      <c r="H44" s="22">
        <v>50</v>
      </c>
      <c r="I44" s="22">
        <v>1</v>
      </c>
      <c r="J44" s="98">
        <v>15</v>
      </c>
      <c r="K44" s="98">
        <v>2.2000000000000002</v>
      </c>
      <c r="L44" s="98">
        <f t="shared" si="0"/>
        <v>17.2</v>
      </c>
      <c r="M44" s="445">
        <v>0.56999999999999995</v>
      </c>
      <c r="N44" s="445">
        <f t="shared" si="2"/>
        <v>19.448399999999996</v>
      </c>
    </row>
    <row r="45" spans="1:14" ht="21.95" customHeight="1">
      <c r="A45" s="22"/>
      <c r="B45" s="22"/>
      <c r="C45" s="22">
        <v>37</v>
      </c>
      <c r="D45" s="58" t="s">
        <v>485</v>
      </c>
      <c r="E45" s="22">
        <v>74</v>
      </c>
      <c r="F45" s="45">
        <v>0.75</v>
      </c>
      <c r="G45" s="303"/>
      <c r="H45" s="22">
        <v>50</v>
      </c>
      <c r="I45" s="22">
        <v>1</v>
      </c>
      <c r="J45" s="98">
        <v>20.25</v>
      </c>
      <c r="K45" s="98">
        <v>3.25</v>
      </c>
      <c r="L45" s="98">
        <f t="shared" si="0"/>
        <v>23.5</v>
      </c>
      <c r="M45" s="445">
        <v>0.56999999999999995</v>
      </c>
      <c r="N45" s="445">
        <f t="shared" si="2"/>
        <v>19.448399999999996</v>
      </c>
    </row>
    <row r="46" spans="1:14" ht="21.95" customHeight="1">
      <c r="A46" s="29"/>
      <c r="B46" s="29"/>
      <c r="C46" s="29">
        <v>38</v>
      </c>
      <c r="D46" s="91" t="s">
        <v>486</v>
      </c>
      <c r="E46" s="92">
        <v>62</v>
      </c>
      <c r="F46" s="93">
        <v>0.2</v>
      </c>
      <c r="G46" s="304"/>
      <c r="H46" s="92">
        <v>50</v>
      </c>
      <c r="I46" s="29">
        <v>1</v>
      </c>
      <c r="J46" s="102">
        <v>12</v>
      </c>
      <c r="K46" s="103">
        <v>1.6</v>
      </c>
      <c r="L46" s="102">
        <f t="shared" si="0"/>
        <v>13.6</v>
      </c>
      <c r="M46" s="446">
        <v>0.56999999999999995</v>
      </c>
      <c r="N46" s="446">
        <f t="shared" si="2"/>
        <v>19.448399999999996</v>
      </c>
    </row>
    <row r="47" spans="1:14" ht="21.95" customHeight="1">
      <c r="A47" s="294"/>
      <c r="B47" s="294"/>
      <c r="C47" s="294"/>
      <c r="D47" s="298"/>
      <c r="E47" s="299"/>
      <c r="F47" s="300"/>
      <c r="G47" s="295"/>
      <c r="H47" s="299"/>
      <c r="I47" s="294"/>
      <c r="J47" s="296"/>
      <c r="K47" s="300"/>
      <c r="L47" s="297"/>
      <c r="M47" s="466"/>
      <c r="N47" s="466"/>
    </row>
    <row r="48" spans="1:14" ht="21.95" customHeight="1">
      <c r="A48" s="645" t="s">
        <v>458</v>
      </c>
      <c r="B48" s="645"/>
      <c r="C48" s="645"/>
      <c r="D48" s="645"/>
      <c r="E48" s="645"/>
      <c r="F48" s="645"/>
      <c r="G48" s="645"/>
      <c r="H48" s="645"/>
      <c r="I48" s="645"/>
      <c r="J48" s="645"/>
      <c r="K48" s="645"/>
      <c r="L48" s="645"/>
    </row>
    <row r="49" spans="1:14" s="5" customFormat="1" ht="27.75" customHeight="1">
      <c r="A49" s="654" t="s">
        <v>1</v>
      </c>
      <c r="B49" s="632" t="s">
        <v>755</v>
      </c>
      <c r="C49" s="646" t="s">
        <v>21</v>
      </c>
      <c r="D49" s="647"/>
      <c r="E49" s="652" t="s">
        <v>756</v>
      </c>
      <c r="F49" s="654" t="s">
        <v>3</v>
      </c>
      <c r="G49" s="654"/>
      <c r="H49" s="654"/>
      <c r="I49" s="654"/>
      <c r="J49" s="654" t="s">
        <v>761</v>
      </c>
      <c r="K49" s="654"/>
      <c r="L49" s="654"/>
      <c r="M49" s="746" t="s">
        <v>752</v>
      </c>
      <c r="N49" s="747"/>
    </row>
    <row r="50" spans="1:14" s="5" customFormat="1" ht="40.5" customHeight="1">
      <c r="A50" s="654"/>
      <c r="B50" s="633"/>
      <c r="C50" s="648"/>
      <c r="D50" s="649"/>
      <c r="E50" s="652"/>
      <c r="F50" s="652" t="s">
        <v>757</v>
      </c>
      <c r="G50" s="652" t="s">
        <v>5</v>
      </c>
      <c r="H50" s="652" t="s">
        <v>6</v>
      </c>
      <c r="I50" s="652"/>
      <c r="J50" s="652" t="s">
        <v>22</v>
      </c>
      <c r="K50" s="652" t="s">
        <v>762</v>
      </c>
      <c r="L50" s="654" t="s">
        <v>8</v>
      </c>
      <c r="M50" s="748"/>
      <c r="N50" s="749"/>
    </row>
    <row r="51" spans="1:14" s="5" customFormat="1" ht="58.5" customHeight="1">
      <c r="A51" s="632"/>
      <c r="B51" s="634"/>
      <c r="C51" s="650"/>
      <c r="D51" s="651"/>
      <c r="E51" s="653"/>
      <c r="F51" s="653"/>
      <c r="G51" s="653"/>
      <c r="H51" s="381" t="s">
        <v>9</v>
      </c>
      <c r="I51" s="381" t="s">
        <v>10</v>
      </c>
      <c r="J51" s="653"/>
      <c r="K51" s="632"/>
      <c r="L51" s="632"/>
      <c r="M51" s="439" t="s">
        <v>753</v>
      </c>
      <c r="N51" s="440" t="s">
        <v>754</v>
      </c>
    </row>
    <row r="52" spans="1:14" ht="23.1" customHeight="1">
      <c r="A52" s="15"/>
      <c r="B52" s="35" t="s">
        <v>18</v>
      </c>
      <c r="C52" s="15">
        <v>39</v>
      </c>
      <c r="D52" s="301" t="s">
        <v>487</v>
      </c>
      <c r="E52" s="15">
        <v>54</v>
      </c>
      <c r="F52" s="44">
        <v>0.6</v>
      </c>
      <c r="G52" s="302"/>
      <c r="H52" s="15">
        <v>50</v>
      </c>
      <c r="I52" s="15">
        <v>1</v>
      </c>
      <c r="J52" s="123">
        <v>18</v>
      </c>
      <c r="K52" s="123">
        <v>2.8</v>
      </c>
      <c r="L52" s="123">
        <f t="shared" si="0"/>
        <v>20.8</v>
      </c>
      <c r="M52" s="444">
        <v>0.56999999999999995</v>
      </c>
      <c r="N52" s="444">
        <f>M52*34.12</f>
        <v>19.448399999999996</v>
      </c>
    </row>
    <row r="53" spans="1:14" ht="23.1" customHeight="1">
      <c r="A53" s="22"/>
      <c r="B53" s="54" t="s">
        <v>832</v>
      </c>
      <c r="C53" s="22">
        <v>40</v>
      </c>
      <c r="D53" s="58" t="s">
        <v>488</v>
      </c>
      <c r="E53" s="22">
        <v>58</v>
      </c>
      <c r="F53" s="45">
        <v>0.67</v>
      </c>
      <c r="G53" s="303"/>
      <c r="H53" s="22">
        <v>50</v>
      </c>
      <c r="I53" s="22">
        <v>1</v>
      </c>
      <c r="J53" s="98">
        <v>19.05</v>
      </c>
      <c r="K53" s="98">
        <v>3.01</v>
      </c>
      <c r="L53" s="98">
        <f t="shared" si="0"/>
        <v>22.060000000000002</v>
      </c>
      <c r="M53" s="445">
        <v>0.56999999999999995</v>
      </c>
      <c r="N53" s="445">
        <f t="shared" ref="N53:N55" si="3">M53*34.12</f>
        <v>19.448399999999996</v>
      </c>
    </row>
    <row r="54" spans="1:14" ht="23.1" customHeight="1">
      <c r="A54" s="22"/>
      <c r="B54" s="22"/>
      <c r="C54" s="22">
        <v>41</v>
      </c>
      <c r="D54" s="58" t="s">
        <v>489</v>
      </c>
      <c r="E54" s="22">
        <v>50</v>
      </c>
      <c r="F54" s="45">
        <v>0.67</v>
      </c>
      <c r="G54" s="303"/>
      <c r="H54" s="22">
        <v>50</v>
      </c>
      <c r="I54" s="22">
        <v>1</v>
      </c>
      <c r="J54" s="98">
        <v>19.05</v>
      </c>
      <c r="K54" s="98">
        <v>3.01</v>
      </c>
      <c r="L54" s="98">
        <f t="shared" si="0"/>
        <v>22.060000000000002</v>
      </c>
      <c r="M54" s="445">
        <v>0.56999999999999995</v>
      </c>
      <c r="N54" s="445">
        <f t="shared" si="3"/>
        <v>19.448399999999996</v>
      </c>
    </row>
    <row r="55" spans="1:14" ht="23.1" customHeight="1">
      <c r="A55" s="29"/>
      <c r="B55" s="29"/>
      <c r="C55" s="29">
        <v>42</v>
      </c>
      <c r="D55" s="290" t="s">
        <v>490</v>
      </c>
      <c r="E55" s="92">
        <v>76</v>
      </c>
      <c r="F55" s="93">
        <v>0.9</v>
      </c>
      <c r="G55" s="304"/>
      <c r="H55" s="92">
        <v>50</v>
      </c>
      <c r="I55" s="29">
        <v>1</v>
      </c>
      <c r="J55" s="102">
        <v>22.5</v>
      </c>
      <c r="K55" s="103">
        <v>3.7</v>
      </c>
      <c r="L55" s="102">
        <f t="shared" si="0"/>
        <v>26.2</v>
      </c>
      <c r="M55" s="446">
        <v>0.56999999999999995</v>
      </c>
      <c r="N55" s="446">
        <f t="shared" si="3"/>
        <v>19.448399999999996</v>
      </c>
    </row>
    <row r="56" spans="1:14" s="71" customFormat="1" ht="23.1" customHeight="1">
      <c r="A56" s="64"/>
      <c r="B56" s="64" t="s">
        <v>759</v>
      </c>
      <c r="C56" s="64"/>
      <c r="D56" s="65" t="s">
        <v>833</v>
      </c>
      <c r="E56" s="66">
        <f t="shared" ref="E56:F56" si="4">SUM(E5:E55)</f>
        <v>3295</v>
      </c>
      <c r="F56" s="67">
        <f t="shared" si="4"/>
        <v>25.150000000000002</v>
      </c>
      <c r="G56" s="467"/>
      <c r="H56" s="66">
        <f t="shared" ref="H56:M56" si="5">SUM(H5:H55)</f>
        <v>2860</v>
      </c>
      <c r="I56" s="468">
        <f t="shared" si="5"/>
        <v>42</v>
      </c>
      <c r="J56" s="69">
        <f t="shared" si="5"/>
        <v>770.24999999999977</v>
      </c>
      <c r="K56" s="69">
        <f t="shared" si="5"/>
        <v>117.51</v>
      </c>
      <c r="L56" s="120">
        <f t="shared" si="5"/>
        <v>887.76</v>
      </c>
      <c r="M56" s="411">
        <f t="shared" si="5"/>
        <v>26.640000000000008</v>
      </c>
      <c r="N56" s="411">
        <f t="shared" ref="N56" si="6">SUM(N5:N55)</f>
        <v>908.95679999999982</v>
      </c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>
      <c r="D65" s="2"/>
      <c r="E65" s="2"/>
      <c r="F65" s="2"/>
      <c r="G65" s="2"/>
      <c r="H65" s="2"/>
      <c r="I65" s="2"/>
      <c r="J65" s="2"/>
    </row>
    <row r="66" spans="1:14">
      <c r="D66" s="2"/>
      <c r="E66" s="2"/>
      <c r="F66" s="2"/>
      <c r="G66" s="2"/>
      <c r="H66" s="2"/>
      <c r="I66" s="2"/>
      <c r="J66" s="2"/>
    </row>
    <row r="67" spans="1:14">
      <c r="D67" s="2"/>
      <c r="E67" s="2"/>
      <c r="F67" s="2"/>
      <c r="G67" s="2"/>
      <c r="H67" s="2"/>
      <c r="I67" s="2"/>
      <c r="J67" s="2"/>
    </row>
    <row r="68" spans="1:14">
      <c r="D68" s="2"/>
      <c r="E68" s="2"/>
      <c r="F68" s="2"/>
      <c r="G68" s="2"/>
      <c r="H68" s="2"/>
      <c r="I68" s="2"/>
      <c r="J68" s="2"/>
    </row>
    <row r="69" spans="1:14">
      <c r="D69" s="2"/>
      <c r="E69" s="2"/>
      <c r="F69" s="2"/>
      <c r="G69" s="2"/>
      <c r="H69" s="2"/>
      <c r="I69" s="2"/>
      <c r="J69" s="2"/>
    </row>
    <row r="70" spans="1:14">
      <c r="D70" s="2"/>
      <c r="E70" s="2"/>
      <c r="F70" s="2"/>
      <c r="G70" s="2"/>
      <c r="H70" s="2"/>
      <c r="I70" s="2"/>
      <c r="J70" s="2"/>
    </row>
    <row r="71" spans="1:14">
      <c r="D71" s="2"/>
      <c r="E71" s="2"/>
      <c r="F71" s="2"/>
      <c r="G71" s="2"/>
      <c r="H71" s="2"/>
      <c r="I71" s="2"/>
      <c r="J71" s="2"/>
    </row>
    <row r="72" spans="1:14">
      <c r="D72" s="2"/>
      <c r="E72" s="2"/>
      <c r="F72" s="2"/>
      <c r="G72" s="2"/>
      <c r="H72" s="2"/>
      <c r="I72" s="2"/>
      <c r="J72" s="2"/>
    </row>
    <row r="73" spans="1:14">
      <c r="D73" s="2"/>
      <c r="E73" s="2"/>
      <c r="F73" s="2"/>
      <c r="G73" s="2"/>
      <c r="H73" s="2"/>
      <c r="I73" s="2"/>
      <c r="J73" s="2"/>
    </row>
    <row r="74" spans="1:14">
      <c r="D74" s="2"/>
      <c r="E74" s="2"/>
      <c r="F74" s="2"/>
      <c r="G74" s="2"/>
      <c r="H74" s="2"/>
      <c r="I74" s="2"/>
      <c r="J74" s="2"/>
    </row>
    <row r="75" spans="1:14">
      <c r="D75" s="2"/>
      <c r="E75" s="2"/>
      <c r="F75" s="2"/>
      <c r="G75" s="2"/>
      <c r="H75" s="2"/>
      <c r="I75" s="2"/>
      <c r="J75" s="2"/>
    </row>
    <row r="76" spans="1:14">
      <c r="A76" s="750" t="s">
        <v>491</v>
      </c>
      <c r="B76" s="750"/>
      <c r="C76" s="750"/>
      <c r="D76" s="750"/>
      <c r="E76" s="750"/>
      <c r="F76" s="750"/>
      <c r="G76" s="750"/>
      <c r="H76" s="750"/>
      <c r="I76" s="750"/>
      <c r="J76" s="750"/>
      <c r="K76" s="750"/>
      <c r="L76" s="750"/>
    </row>
    <row r="77" spans="1:14" s="5" customFormat="1" ht="27.75" customHeight="1">
      <c r="A77" s="654" t="s">
        <v>1</v>
      </c>
      <c r="B77" s="632" t="s">
        <v>755</v>
      </c>
      <c r="C77" s="646" t="s">
        <v>21</v>
      </c>
      <c r="D77" s="647"/>
      <c r="E77" s="652" t="s">
        <v>756</v>
      </c>
      <c r="F77" s="654" t="s">
        <v>3</v>
      </c>
      <c r="G77" s="654"/>
      <c r="H77" s="654"/>
      <c r="I77" s="654"/>
      <c r="J77" s="654" t="s">
        <v>761</v>
      </c>
      <c r="K77" s="654"/>
      <c r="L77" s="654"/>
      <c r="M77" s="746" t="s">
        <v>752</v>
      </c>
      <c r="N77" s="747"/>
    </row>
    <row r="78" spans="1:14" s="5" customFormat="1" ht="40.5" customHeight="1">
      <c r="A78" s="654"/>
      <c r="B78" s="633"/>
      <c r="C78" s="648"/>
      <c r="D78" s="649"/>
      <c r="E78" s="652"/>
      <c r="F78" s="652" t="s">
        <v>757</v>
      </c>
      <c r="G78" s="652" t="s">
        <v>5</v>
      </c>
      <c r="H78" s="652" t="s">
        <v>6</v>
      </c>
      <c r="I78" s="652"/>
      <c r="J78" s="652" t="s">
        <v>22</v>
      </c>
      <c r="K78" s="652" t="s">
        <v>762</v>
      </c>
      <c r="L78" s="654" t="s">
        <v>8</v>
      </c>
      <c r="M78" s="748"/>
      <c r="N78" s="749"/>
    </row>
    <row r="79" spans="1:14" s="5" customFormat="1" ht="58.5" customHeight="1">
      <c r="A79" s="632"/>
      <c r="B79" s="634"/>
      <c r="C79" s="650"/>
      <c r="D79" s="651"/>
      <c r="E79" s="653"/>
      <c r="F79" s="653"/>
      <c r="G79" s="653"/>
      <c r="H79" s="381" t="s">
        <v>9</v>
      </c>
      <c r="I79" s="381" t="s">
        <v>10</v>
      </c>
      <c r="J79" s="653"/>
      <c r="K79" s="632"/>
      <c r="L79" s="632"/>
      <c r="M79" s="439" t="s">
        <v>753</v>
      </c>
      <c r="N79" s="440" t="s">
        <v>754</v>
      </c>
    </row>
    <row r="80" spans="1:14" ht="25.5" customHeight="1">
      <c r="A80" s="15"/>
      <c r="B80" s="35" t="s">
        <v>18</v>
      </c>
      <c r="C80" s="15">
        <v>1</v>
      </c>
      <c r="D80" s="301" t="s">
        <v>492</v>
      </c>
      <c r="E80" s="15">
        <v>85</v>
      </c>
      <c r="F80" s="44">
        <v>0.38</v>
      </c>
      <c r="G80" s="18"/>
      <c r="H80" s="15">
        <v>100</v>
      </c>
      <c r="I80" s="15">
        <v>1</v>
      </c>
      <c r="J80" s="123">
        <v>15.7</v>
      </c>
      <c r="K80" s="123">
        <v>2.14</v>
      </c>
      <c r="L80" s="123">
        <f>J80+K80</f>
        <v>17.84</v>
      </c>
      <c r="M80" s="444">
        <v>0.76</v>
      </c>
      <c r="N80" s="444">
        <f>M80*34.12</f>
        <v>25.931199999999997</v>
      </c>
    </row>
    <row r="81" spans="1:15" ht="25.5" customHeight="1">
      <c r="A81" s="22"/>
      <c r="B81" s="54" t="s">
        <v>834</v>
      </c>
      <c r="C81" s="22">
        <v>2</v>
      </c>
      <c r="D81" s="58" t="s">
        <v>493</v>
      </c>
      <c r="E81" s="22">
        <v>116</v>
      </c>
      <c r="F81" s="45">
        <v>0.9</v>
      </c>
      <c r="G81" s="24"/>
      <c r="H81" s="22">
        <v>100</v>
      </c>
      <c r="I81" s="22">
        <v>1</v>
      </c>
      <c r="J81" s="98">
        <v>23.5</v>
      </c>
      <c r="K81" s="98">
        <v>3.7</v>
      </c>
      <c r="L81" s="98">
        <f t="shared" ref="L81:L88" si="7">J81+K81</f>
        <v>27.2</v>
      </c>
      <c r="M81" s="445">
        <v>0.76</v>
      </c>
      <c r="N81" s="445">
        <f t="shared" ref="N81:N88" si="8">M81*34.12</f>
        <v>25.931199999999997</v>
      </c>
    </row>
    <row r="82" spans="1:15" ht="25.5" customHeight="1">
      <c r="A82" s="22"/>
      <c r="B82" s="54" t="s">
        <v>767</v>
      </c>
      <c r="C82" s="22">
        <v>3</v>
      </c>
      <c r="D82" s="58" t="s">
        <v>494</v>
      </c>
      <c r="E82" s="22">
        <v>160</v>
      </c>
      <c r="F82" s="45">
        <v>0.42</v>
      </c>
      <c r="G82" s="24"/>
      <c r="H82" s="22">
        <v>50</v>
      </c>
      <c r="I82" s="22">
        <v>1</v>
      </c>
      <c r="J82" s="98">
        <v>15.3</v>
      </c>
      <c r="K82" s="98">
        <v>6.19</v>
      </c>
      <c r="L82" s="98">
        <f t="shared" si="7"/>
        <v>21.490000000000002</v>
      </c>
      <c r="M82" s="445">
        <v>0.56999999999999995</v>
      </c>
      <c r="N82" s="445">
        <f t="shared" si="8"/>
        <v>19.448399999999996</v>
      </c>
    </row>
    <row r="83" spans="1:15" ht="25.5" customHeight="1">
      <c r="A83" s="22"/>
      <c r="B83" s="22"/>
      <c r="C83" s="22">
        <v>4</v>
      </c>
      <c r="D83" s="108" t="s">
        <v>495</v>
      </c>
      <c r="E83" s="281">
        <v>150</v>
      </c>
      <c r="F83" s="279">
        <v>0.95</v>
      </c>
      <c r="G83" s="24"/>
      <c r="H83" s="281">
        <v>100</v>
      </c>
      <c r="I83" s="22">
        <v>1</v>
      </c>
      <c r="J83" s="98">
        <v>24.25</v>
      </c>
      <c r="K83" s="98">
        <v>3.85</v>
      </c>
      <c r="L83" s="98">
        <f t="shared" si="7"/>
        <v>28.1</v>
      </c>
      <c r="M83" s="445">
        <v>0.76</v>
      </c>
      <c r="N83" s="445">
        <f t="shared" si="8"/>
        <v>25.931199999999997</v>
      </c>
    </row>
    <row r="84" spans="1:15" ht="25.5" customHeight="1">
      <c r="A84" s="22"/>
      <c r="B84" s="22"/>
      <c r="C84" s="22">
        <v>5</v>
      </c>
      <c r="D84" s="108" t="s">
        <v>496</v>
      </c>
      <c r="E84" s="281">
        <v>80</v>
      </c>
      <c r="F84" s="279">
        <v>1.92</v>
      </c>
      <c r="G84" s="24"/>
      <c r="H84" s="281">
        <v>100</v>
      </c>
      <c r="I84" s="22">
        <v>1</v>
      </c>
      <c r="J84" s="98">
        <v>38.5</v>
      </c>
      <c r="K84" s="98">
        <v>6.7</v>
      </c>
      <c r="L84" s="98">
        <f t="shared" si="7"/>
        <v>45.2</v>
      </c>
      <c r="M84" s="445">
        <v>0.76</v>
      </c>
      <c r="N84" s="445">
        <f t="shared" si="8"/>
        <v>25.931199999999997</v>
      </c>
    </row>
    <row r="85" spans="1:15" ht="25.5" customHeight="1">
      <c r="A85" s="22"/>
      <c r="B85" s="22"/>
      <c r="C85" s="22">
        <v>6</v>
      </c>
      <c r="D85" s="108" t="s">
        <v>497</v>
      </c>
      <c r="E85" s="281">
        <v>48</v>
      </c>
      <c r="F85" s="279">
        <v>1.5</v>
      </c>
      <c r="G85" s="24"/>
      <c r="H85" s="281">
        <v>50</v>
      </c>
      <c r="I85" s="22">
        <v>1</v>
      </c>
      <c r="J85" s="98">
        <v>31.5</v>
      </c>
      <c r="K85" s="98">
        <v>5.5</v>
      </c>
      <c r="L85" s="98">
        <f t="shared" si="7"/>
        <v>37</v>
      </c>
      <c r="M85" s="445">
        <v>0.56999999999999995</v>
      </c>
      <c r="N85" s="445">
        <f t="shared" si="8"/>
        <v>19.448399999999996</v>
      </c>
    </row>
    <row r="86" spans="1:15" ht="25.5" customHeight="1">
      <c r="A86" s="22"/>
      <c r="B86" s="22"/>
      <c r="C86" s="22">
        <v>7</v>
      </c>
      <c r="D86" s="86" t="s">
        <v>13</v>
      </c>
      <c r="E86" s="281">
        <v>70</v>
      </c>
      <c r="F86" s="88">
        <v>1.75</v>
      </c>
      <c r="G86" s="24"/>
      <c r="H86" s="87">
        <v>100</v>
      </c>
      <c r="I86" s="22">
        <v>1</v>
      </c>
      <c r="J86" s="98">
        <v>36.25</v>
      </c>
      <c r="K86" s="98">
        <v>6.25</v>
      </c>
      <c r="L86" s="98">
        <f t="shared" si="7"/>
        <v>42.5</v>
      </c>
      <c r="M86" s="445">
        <v>0.76</v>
      </c>
      <c r="N86" s="445">
        <f t="shared" si="8"/>
        <v>25.931199999999997</v>
      </c>
    </row>
    <row r="87" spans="1:15" ht="25.5" customHeight="1">
      <c r="A87" s="22"/>
      <c r="B87" s="22"/>
      <c r="C87" s="22">
        <v>8</v>
      </c>
      <c r="D87" s="86" t="s">
        <v>498</v>
      </c>
      <c r="E87" s="281">
        <v>70</v>
      </c>
      <c r="F87" s="88">
        <v>0.2</v>
      </c>
      <c r="G87" s="24"/>
      <c r="H87" s="87">
        <v>100</v>
      </c>
      <c r="I87" s="22">
        <v>1</v>
      </c>
      <c r="J87" s="98">
        <v>13</v>
      </c>
      <c r="K87" s="98">
        <v>1.6</v>
      </c>
      <c r="L87" s="98">
        <f t="shared" si="7"/>
        <v>14.6</v>
      </c>
      <c r="M87" s="445">
        <v>0.76</v>
      </c>
      <c r="N87" s="445">
        <f t="shared" si="8"/>
        <v>25.931199999999997</v>
      </c>
    </row>
    <row r="88" spans="1:15" ht="25.5" customHeight="1">
      <c r="A88" s="29"/>
      <c r="B88" s="29"/>
      <c r="C88" s="29">
        <v>9</v>
      </c>
      <c r="D88" s="91" t="s">
        <v>499</v>
      </c>
      <c r="E88" s="92">
        <v>100</v>
      </c>
      <c r="F88" s="93">
        <v>1.73</v>
      </c>
      <c r="G88" s="31"/>
      <c r="H88" s="92">
        <v>100</v>
      </c>
      <c r="I88" s="29">
        <v>1</v>
      </c>
      <c r="J88" s="102">
        <v>35.950000000000003</v>
      </c>
      <c r="K88" s="102">
        <v>6.19</v>
      </c>
      <c r="L88" s="102">
        <f t="shared" si="7"/>
        <v>42.14</v>
      </c>
      <c r="M88" s="446">
        <v>0.76</v>
      </c>
      <c r="N88" s="446">
        <f t="shared" si="8"/>
        <v>25.931199999999997</v>
      </c>
    </row>
    <row r="89" spans="1:15" s="71" customFormat="1" ht="25.5" customHeight="1">
      <c r="A89" s="64"/>
      <c r="B89" s="64" t="s">
        <v>759</v>
      </c>
      <c r="C89" s="64"/>
      <c r="D89" s="65" t="s">
        <v>829</v>
      </c>
      <c r="E89" s="189">
        <f t="shared" ref="E89:F89" si="9">SUM(E80:E88)</f>
        <v>879</v>
      </c>
      <c r="F89" s="190">
        <f t="shared" si="9"/>
        <v>9.75</v>
      </c>
      <c r="G89" s="309"/>
      <c r="H89" s="189">
        <f t="shared" ref="H89:M89" si="10">SUM(H80:H88)</f>
        <v>800</v>
      </c>
      <c r="I89" s="189">
        <f t="shared" si="10"/>
        <v>9</v>
      </c>
      <c r="J89" s="192">
        <f t="shared" si="10"/>
        <v>233.95</v>
      </c>
      <c r="K89" s="192">
        <f t="shared" si="10"/>
        <v>42.12</v>
      </c>
      <c r="L89" s="192">
        <f t="shared" si="10"/>
        <v>276.07</v>
      </c>
      <c r="M89" s="418">
        <f t="shared" si="10"/>
        <v>6.4599999999999991</v>
      </c>
      <c r="N89" s="418">
        <f t="shared" ref="N89" si="11">SUM(N80:N88)</f>
        <v>220.41519999999994</v>
      </c>
    </row>
    <row r="90" spans="1:15" s="228" customFormat="1">
      <c r="A90" s="293"/>
      <c r="B90" s="293"/>
      <c r="C90" s="293"/>
      <c r="D90" s="276"/>
      <c r="E90" s="293"/>
      <c r="F90" s="293"/>
      <c r="G90" s="293"/>
      <c r="H90" s="293"/>
      <c r="I90" s="293"/>
      <c r="J90" s="33"/>
      <c r="M90" s="378"/>
      <c r="N90" s="378"/>
      <c r="O90" s="2"/>
    </row>
    <row r="91" spans="1:15" s="228" customFormat="1">
      <c r="A91" s="293"/>
      <c r="B91" s="293"/>
      <c r="C91" s="293"/>
      <c r="D91" s="276"/>
      <c r="E91" s="293"/>
      <c r="F91" s="293"/>
      <c r="G91" s="293"/>
      <c r="H91" s="293"/>
      <c r="I91" s="293"/>
      <c r="J91" s="33"/>
      <c r="M91" s="378"/>
      <c r="N91" s="378"/>
      <c r="O91" s="2"/>
    </row>
    <row r="92" spans="1:15" s="228" customFormat="1">
      <c r="A92" s="293"/>
      <c r="B92" s="293"/>
      <c r="C92" s="293"/>
      <c r="D92" s="276"/>
      <c r="E92" s="293"/>
      <c r="F92" s="293"/>
      <c r="G92" s="293"/>
      <c r="H92" s="293"/>
      <c r="I92" s="293"/>
      <c r="J92" s="33"/>
      <c r="M92" s="378"/>
      <c r="N92" s="378"/>
      <c r="O92" s="2"/>
    </row>
    <row r="93" spans="1:15" s="228" customFormat="1">
      <c r="A93" s="293"/>
      <c r="B93" s="293"/>
      <c r="C93" s="293"/>
      <c r="D93" s="276"/>
      <c r="E93" s="293"/>
      <c r="F93" s="293"/>
      <c r="G93" s="293"/>
      <c r="H93" s="293"/>
      <c r="I93" s="293"/>
      <c r="J93" s="33"/>
      <c r="M93" s="378"/>
      <c r="N93" s="378"/>
      <c r="O93" s="2"/>
    </row>
    <row r="94" spans="1:15">
      <c r="D94" s="2"/>
      <c r="E94" s="2"/>
      <c r="F94" s="2"/>
      <c r="G94" s="2"/>
      <c r="H94" s="2"/>
      <c r="I94" s="2"/>
      <c r="J94" s="2"/>
    </row>
    <row r="95" spans="1:15">
      <c r="D95" s="2"/>
      <c r="E95" s="2"/>
      <c r="F95" s="2"/>
      <c r="G95" s="2"/>
      <c r="H95" s="2"/>
      <c r="I95" s="2"/>
      <c r="J95" s="2"/>
    </row>
    <row r="96" spans="1:15">
      <c r="D96" s="2"/>
      <c r="E96" s="2"/>
      <c r="F96" s="2"/>
      <c r="G96" s="2"/>
      <c r="H96" s="2"/>
      <c r="I96" s="2"/>
      <c r="J96" s="2"/>
    </row>
    <row r="97" spans="1:15">
      <c r="D97" s="2"/>
      <c r="E97" s="2"/>
      <c r="F97" s="2"/>
      <c r="G97" s="2"/>
      <c r="H97" s="2"/>
      <c r="I97" s="2"/>
      <c r="J97" s="2"/>
    </row>
    <row r="98" spans="1:15">
      <c r="D98" s="2"/>
      <c r="E98" s="2"/>
      <c r="F98" s="2"/>
      <c r="G98" s="2"/>
      <c r="H98" s="2"/>
      <c r="I98" s="2"/>
      <c r="J98" s="2"/>
    </row>
    <row r="99" spans="1:15">
      <c r="D99" s="2"/>
      <c r="E99" s="2"/>
      <c r="F99" s="2"/>
      <c r="G99" s="2"/>
      <c r="H99" s="2"/>
      <c r="I99" s="2"/>
      <c r="J99" s="2"/>
    </row>
    <row r="100" spans="1:15">
      <c r="D100" s="2"/>
      <c r="E100" s="2"/>
      <c r="F100" s="2"/>
      <c r="G100" s="2"/>
      <c r="H100" s="2"/>
      <c r="I100" s="2"/>
      <c r="J100" s="2"/>
    </row>
    <row r="101" spans="1:15">
      <c r="A101" s="750" t="s">
        <v>500</v>
      </c>
      <c r="B101" s="750"/>
      <c r="C101" s="750"/>
      <c r="D101" s="750"/>
      <c r="E101" s="750"/>
      <c r="F101" s="750"/>
      <c r="G101" s="750"/>
      <c r="H101" s="750"/>
      <c r="I101" s="750"/>
      <c r="J101" s="750"/>
      <c r="K101" s="750"/>
      <c r="L101" s="750"/>
    </row>
    <row r="102" spans="1:15" s="5" customFormat="1" ht="27.75" customHeight="1">
      <c r="A102" s="654" t="s">
        <v>1</v>
      </c>
      <c r="B102" s="632" t="s">
        <v>755</v>
      </c>
      <c r="C102" s="646" t="s">
        <v>21</v>
      </c>
      <c r="D102" s="647"/>
      <c r="E102" s="652" t="s">
        <v>756</v>
      </c>
      <c r="F102" s="654" t="s">
        <v>3</v>
      </c>
      <c r="G102" s="654"/>
      <c r="H102" s="654"/>
      <c r="I102" s="654"/>
      <c r="J102" s="654" t="s">
        <v>761</v>
      </c>
      <c r="K102" s="654"/>
      <c r="L102" s="654"/>
      <c r="M102" s="746" t="s">
        <v>752</v>
      </c>
      <c r="N102" s="747"/>
    </row>
    <row r="103" spans="1:15" s="5" customFormat="1" ht="40.5" customHeight="1">
      <c r="A103" s="654"/>
      <c r="B103" s="633"/>
      <c r="C103" s="648"/>
      <c r="D103" s="649"/>
      <c r="E103" s="652"/>
      <c r="F103" s="652" t="s">
        <v>757</v>
      </c>
      <c r="G103" s="652" t="s">
        <v>5</v>
      </c>
      <c r="H103" s="652" t="s">
        <v>6</v>
      </c>
      <c r="I103" s="652"/>
      <c r="J103" s="652" t="s">
        <v>22</v>
      </c>
      <c r="K103" s="652" t="s">
        <v>762</v>
      </c>
      <c r="L103" s="654" t="s">
        <v>8</v>
      </c>
      <c r="M103" s="748"/>
      <c r="N103" s="749"/>
    </row>
    <row r="104" spans="1:15" s="5" customFormat="1" ht="58.5" customHeight="1">
      <c r="A104" s="632"/>
      <c r="B104" s="634"/>
      <c r="C104" s="650"/>
      <c r="D104" s="651"/>
      <c r="E104" s="653"/>
      <c r="F104" s="653"/>
      <c r="G104" s="653"/>
      <c r="H104" s="381" t="s">
        <v>9</v>
      </c>
      <c r="I104" s="381" t="s">
        <v>10</v>
      </c>
      <c r="J104" s="653"/>
      <c r="K104" s="632"/>
      <c r="L104" s="632"/>
      <c r="M104" s="439" t="s">
        <v>753</v>
      </c>
      <c r="N104" s="440" t="s">
        <v>754</v>
      </c>
    </row>
    <row r="105" spans="1:15" ht="32.25" customHeight="1">
      <c r="A105" s="15"/>
      <c r="B105" s="35" t="s">
        <v>18</v>
      </c>
      <c r="C105" s="15">
        <v>1</v>
      </c>
      <c r="D105" s="81" t="s">
        <v>501</v>
      </c>
      <c r="E105" s="307">
        <v>89</v>
      </c>
      <c r="F105" s="83">
        <v>1.44</v>
      </c>
      <c r="G105" s="18"/>
      <c r="H105" s="82">
        <v>100</v>
      </c>
      <c r="I105" s="15">
        <v>1</v>
      </c>
      <c r="J105" s="124">
        <v>31.6</v>
      </c>
      <c r="K105" s="124">
        <v>5.32</v>
      </c>
      <c r="L105" s="124">
        <f>J105+K105</f>
        <v>36.92</v>
      </c>
      <c r="M105" s="444">
        <v>0.76</v>
      </c>
      <c r="N105" s="444">
        <f>M105*34.12</f>
        <v>25.931199999999997</v>
      </c>
    </row>
    <row r="106" spans="1:15" ht="32.25" customHeight="1">
      <c r="A106" s="22"/>
      <c r="B106" s="54" t="s">
        <v>835</v>
      </c>
      <c r="C106" s="22">
        <v>2</v>
      </c>
      <c r="D106" s="86" t="s">
        <v>502</v>
      </c>
      <c r="E106" s="281">
        <v>64</v>
      </c>
      <c r="F106" s="88">
        <v>0.56000000000000005</v>
      </c>
      <c r="G106" s="24"/>
      <c r="H106" s="87">
        <v>100</v>
      </c>
      <c r="I106" s="22">
        <v>1</v>
      </c>
      <c r="J106" s="99">
        <v>18.399999999999999</v>
      </c>
      <c r="K106" s="99">
        <v>2.68</v>
      </c>
      <c r="L106" s="99">
        <f t="shared" ref="L106:L107" si="12">J106+K106</f>
        <v>21.08</v>
      </c>
      <c r="M106" s="445">
        <v>0.76</v>
      </c>
      <c r="N106" s="445">
        <f t="shared" ref="N106:N108" si="13">M106*34.12</f>
        <v>25.931199999999997</v>
      </c>
    </row>
    <row r="107" spans="1:15" ht="32.25" customHeight="1">
      <c r="A107" s="22"/>
      <c r="B107" s="54" t="s">
        <v>767</v>
      </c>
      <c r="C107" s="22">
        <v>3</v>
      </c>
      <c r="D107" s="86" t="s">
        <v>23</v>
      </c>
      <c r="E107" s="281">
        <v>76</v>
      </c>
      <c r="F107" s="88">
        <v>0.6</v>
      </c>
      <c r="G107" s="24"/>
      <c r="H107" s="87">
        <v>100</v>
      </c>
      <c r="I107" s="22">
        <v>1</v>
      </c>
      <c r="J107" s="99">
        <v>19</v>
      </c>
      <c r="K107" s="99">
        <v>2.8</v>
      </c>
      <c r="L107" s="99">
        <f t="shared" si="12"/>
        <v>21.8</v>
      </c>
      <c r="M107" s="445">
        <v>0.76</v>
      </c>
      <c r="N107" s="445">
        <f t="shared" si="13"/>
        <v>25.931199999999997</v>
      </c>
    </row>
    <row r="108" spans="1:15" ht="32.25" customHeight="1">
      <c r="A108" s="22"/>
      <c r="B108" s="22"/>
      <c r="C108" s="22">
        <v>4</v>
      </c>
      <c r="D108" s="101" t="s">
        <v>421</v>
      </c>
      <c r="E108" s="281">
        <v>225</v>
      </c>
      <c r="F108" s="88">
        <v>0.4</v>
      </c>
      <c r="G108" s="24"/>
      <c r="H108" s="687">
        <v>100</v>
      </c>
      <c r="I108" s="690">
        <v>4</v>
      </c>
      <c r="J108" s="685">
        <v>70</v>
      </c>
      <c r="K108" s="685">
        <v>10</v>
      </c>
      <c r="L108" s="736">
        <f>J108+K108</f>
        <v>80</v>
      </c>
      <c r="M108" s="744">
        <v>0.76</v>
      </c>
      <c r="N108" s="744">
        <f t="shared" si="13"/>
        <v>25.931199999999997</v>
      </c>
    </row>
    <row r="109" spans="1:15" ht="32.25" customHeight="1">
      <c r="A109" s="29"/>
      <c r="B109" s="29"/>
      <c r="C109" s="29">
        <v>5</v>
      </c>
      <c r="D109" s="290" t="s">
        <v>503</v>
      </c>
      <c r="E109" s="310">
        <v>187</v>
      </c>
      <c r="F109" s="93">
        <v>1.6</v>
      </c>
      <c r="G109" s="31"/>
      <c r="H109" s="751"/>
      <c r="I109" s="743"/>
      <c r="J109" s="752"/>
      <c r="K109" s="752"/>
      <c r="L109" s="737"/>
      <c r="M109" s="745"/>
      <c r="N109" s="745"/>
    </row>
    <row r="110" spans="1:15" s="71" customFormat="1" ht="32.25" customHeight="1">
      <c r="A110" s="186"/>
      <c r="B110" s="186" t="s">
        <v>759</v>
      </c>
      <c r="C110" s="186"/>
      <c r="D110" s="187" t="s">
        <v>836</v>
      </c>
      <c r="E110" s="315">
        <f>SUM(E105:E109)</f>
        <v>641</v>
      </c>
      <c r="F110" s="316">
        <f>SUM(F105:F109)</f>
        <v>4.5999999999999996</v>
      </c>
      <c r="G110" s="309"/>
      <c r="H110" s="315">
        <v>700</v>
      </c>
      <c r="I110" s="189">
        <f t="shared" ref="I110:N110" si="14">SUM(I105:I109)</f>
        <v>7</v>
      </c>
      <c r="J110" s="317">
        <f t="shared" si="14"/>
        <v>139</v>
      </c>
      <c r="K110" s="317">
        <f t="shared" si="14"/>
        <v>20.8</v>
      </c>
      <c r="L110" s="317">
        <f t="shared" si="14"/>
        <v>159.80000000000001</v>
      </c>
      <c r="M110" s="390">
        <f t="shared" si="14"/>
        <v>3.04</v>
      </c>
      <c r="N110" s="390">
        <f t="shared" si="14"/>
        <v>103.72479999999999</v>
      </c>
    </row>
    <row r="111" spans="1:15" s="122" customFormat="1" ht="32.25" customHeight="1">
      <c r="A111" s="64"/>
      <c r="B111" s="64" t="s">
        <v>759</v>
      </c>
      <c r="C111" s="64"/>
      <c r="D111" s="65" t="s">
        <v>837</v>
      </c>
      <c r="E111" s="1">
        <f>E110+E89+E56</f>
        <v>4815</v>
      </c>
      <c r="F111" s="318">
        <f>F110+F89+F56</f>
        <v>39.5</v>
      </c>
      <c r="G111" s="1"/>
      <c r="H111" s="1">
        <f t="shared" ref="H111:K111" si="15">H110+H89+H56</f>
        <v>4360</v>
      </c>
      <c r="I111" s="1">
        <f t="shared" si="15"/>
        <v>58</v>
      </c>
      <c r="J111" s="120">
        <f t="shared" si="15"/>
        <v>1143.1999999999998</v>
      </c>
      <c r="K111" s="120">
        <f t="shared" si="15"/>
        <v>180.43</v>
      </c>
      <c r="L111" s="120">
        <f>L110+L89+L56</f>
        <v>1323.63</v>
      </c>
      <c r="M111" s="390">
        <f t="shared" ref="M111:N111" si="16">M110+M89+M56</f>
        <v>36.140000000000008</v>
      </c>
      <c r="N111" s="390">
        <f t="shared" si="16"/>
        <v>1233.0967999999998</v>
      </c>
    </row>
    <row r="112" spans="1:15" s="228" customFormat="1">
      <c r="A112" s="293"/>
      <c r="B112" s="293"/>
      <c r="C112" s="293"/>
      <c r="D112" s="276"/>
      <c r="E112" s="293"/>
      <c r="F112" s="293"/>
      <c r="G112" s="293"/>
      <c r="H112" s="293"/>
      <c r="I112" s="293"/>
      <c r="J112" s="33"/>
      <c r="M112" s="378"/>
      <c r="N112" s="378"/>
      <c r="O112" s="2"/>
    </row>
    <row r="113" spans="1:15" s="228" customFormat="1">
      <c r="A113" s="293"/>
      <c r="B113" s="293"/>
      <c r="C113" s="293"/>
      <c r="D113" s="276"/>
      <c r="E113" s="293"/>
      <c r="F113" s="293"/>
      <c r="G113" s="293"/>
      <c r="H113" s="293"/>
      <c r="I113" s="293"/>
      <c r="J113" s="33"/>
      <c r="M113" s="378"/>
      <c r="N113" s="378"/>
      <c r="O113" s="2"/>
    </row>
    <row r="114" spans="1:15">
      <c r="D114" s="2"/>
      <c r="E114" s="2"/>
      <c r="F114" s="2"/>
      <c r="G114" s="2"/>
      <c r="H114" s="2"/>
      <c r="I114" s="2"/>
      <c r="J114" s="2"/>
    </row>
    <row r="115" spans="1:15">
      <c r="D115" s="2"/>
      <c r="E115" s="2"/>
      <c r="F115" s="2"/>
      <c r="G115" s="2"/>
      <c r="H115" s="2"/>
      <c r="I115" s="2"/>
      <c r="J115" s="2"/>
    </row>
    <row r="116" spans="1:15">
      <c r="D116" s="2"/>
      <c r="E116" s="2"/>
      <c r="F116" s="2"/>
      <c r="G116" s="2"/>
      <c r="H116" s="2"/>
      <c r="I116" s="2"/>
      <c r="J116" s="2"/>
    </row>
    <row r="117" spans="1:15">
      <c r="D117" s="2"/>
      <c r="E117" s="2"/>
      <c r="F117" s="2"/>
      <c r="G117" s="2"/>
      <c r="H117" s="2"/>
      <c r="I117" s="2"/>
      <c r="J117" s="2"/>
    </row>
    <row r="118" spans="1:15">
      <c r="D118" s="2"/>
      <c r="E118" s="2"/>
      <c r="F118" s="2"/>
      <c r="G118" s="2"/>
      <c r="H118" s="2"/>
      <c r="I118" s="2"/>
      <c r="J118" s="2"/>
    </row>
    <row r="119" spans="1:15">
      <c r="D119" s="2"/>
      <c r="E119" s="2"/>
      <c r="F119" s="2"/>
      <c r="G119" s="2"/>
      <c r="H119" s="2"/>
      <c r="I119" s="2"/>
      <c r="J119" s="2"/>
    </row>
    <row r="120" spans="1:15">
      <c r="D120" s="2"/>
      <c r="E120" s="2"/>
      <c r="F120" s="2"/>
      <c r="G120" s="2"/>
      <c r="H120" s="2"/>
      <c r="I120" s="2"/>
      <c r="J120" s="2"/>
    </row>
    <row r="121" spans="1:15">
      <c r="D121" s="2"/>
      <c r="E121" s="2"/>
      <c r="F121" s="2"/>
      <c r="G121" s="2"/>
      <c r="H121" s="2"/>
      <c r="I121" s="2"/>
      <c r="J121" s="2"/>
    </row>
    <row r="122" spans="1:15">
      <c r="D122" s="2"/>
      <c r="E122" s="2"/>
      <c r="F122" s="2"/>
      <c r="G122" s="2"/>
      <c r="H122" s="2"/>
      <c r="I122" s="2"/>
      <c r="J122" s="2"/>
    </row>
    <row r="123" spans="1:15">
      <c r="D123" s="2"/>
      <c r="E123" s="2"/>
      <c r="F123" s="2"/>
      <c r="G123" s="2"/>
      <c r="H123" s="2"/>
      <c r="I123" s="2"/>
      <c r="J123" s="2"/>
    </row>
    <row r="124" spans="1:15">
      <c r="D124" s="2"/>
      <c r="E124" s="2"/>
      <c r="F124" s="2"/>
      <c r="G124" s="2"/>
      <c r="H124" s="2"/>
      <c r="I124" s="2"/>
      <c r="J124" s="2"/>
    </row>
    <row r="125" spans="1:15">
      <c r="D125" s="2"/>
      <c r="E125" s="2"/>
      <c r="F125" s="2"/>
      <c r="G125" s="2"/>
      <c r="H125" s="2"/>
      <c r="I125" s="2"/>
      <c r="J125" s="2"/>
    </row>
    <row r="126" spans="1:15">
      <c r="D126" s="2"/>
      <c r="E126" s="2"/>
      <c r="F126" s="2"/>
      <c r="G126" s="2"/>
      <c r="H126" s="2"/>
      <c r="I126" s="2"/>
      <c r="J126" s="2"/>
    </row>
    <row r="127" spans="1:15">
      <c r="D127" s="2"/>
      <c r="E127" s="2"/>
      <c r="F127" s="2"/>
      <c r="G127" s="2"/>
      <c r="H127" s="2"/>
      <c r="I127" s="2"/>
      <c r="J127" s="2"/>
    </row>
    <row r="128" spans="1:15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</sheetData>
  <mergeCells count="77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L50:L51"/>
    <mergeCell ref="H26:I26"/>
    <mergeCell ref="J26:J27"/>
    <mergeCell ref="K26:K27"/>
    <mergeCell ref="L26:L27"/>
    <mergeCell ref="A48:L48"/>
    <mergeCell ref="A49:A51"/>
    <mergeCell ref="E49:E51"/>
    <mergeCell ref="F49:I49"/>
    <mergeCell ref="J49:L49"/>
    <mergeCell ref="A25:A27"/>
    <mergeCell ref="E25:E27"/>
    <mergeCell ref="F25:I25"/>
    <mergeCell ref="J25:L25"/>
    <mergeCell ref="F26:F27"/>
    <mergeCell ref="G26:G27"/>
    <mergeCell ref="F50:F51"/>
    <mergeCell ref="G50:G51"/>
    <mergeCell ref="H50:I50"/>
    <mergeCell ref="J50:J51"/>
    <mergeCell ref="K50:K51"/>
    <mergeCell ref="A76:L76"/>
    <mergeCell ref="A77:A79"/>
    <mergeCell ref="E77:E79"/>
    <mergeCell ref="F77:I77"/>
    <mergeCell ref="J77:L77"/>
    <mergeCell ref="F78:F79"/>
    <mergeCell ref="G78:G79"/>
    <mergeCell ref="H78:I78"/>
    <mergeCell ref="B49:B51"/>
    <mergeCell ref="C49:D51"/>
    <mergeCell ref="M49:N50"/>
    <mergeCell ref="H108:H109"/>
    <mergeCell ref="I108:I109"/>
    <mergeCell ref="J108:J109"/>
    <mergeCell ref="K108:K109"/>
    <mergeCell ref="L108:L109"/>
    <mergeCell ref="F103:F104"/>
    <mergeCell ref="G103:G104"/>
    <mergeCell ref="H103:I103"/>
    <mergeCell ref="J103:J104"/>
    <mergeCell ref="K103:K104"/>
    <mergeCell ref="L103:L104"/>
    <mergeCell ref="J78:J79"/>
    <mergeCell ref="K78:K79"/>
    <mergeCell ref="M2:N3"/>
    <mergeCell ref="B25:B27"/>
    <mergeCell ref="C25:D27"/>
    <mergeCell ref="M25:N26"/>
    <mergeCell ref="K3:K4"/>
    <mergeCell ref="L3:L4"/>
    <mergeCell ref="A24:L24"/>
    <mergeCell ref="M108:M109"/>
    <mergeCell ref="N108:N109"/>
    <mergeCell ref="B77:B79"/>
    <mergeCell ref="C77:D79"/>
    <mergeCell ref="M77:N78"/>
    <mergeCell ref="B102:B104"/>
    <mergeCell ref="C102:D104"/>
    <mergeCell ref="M102:N103"/>
    <mergeCell ref="L78:L79"/>
    <mergeCell ref="A101:L101"/>
    <mergeCell ref="A102:A104"/>
    <mergeCell ref="E102:E104"/>
    <mergeCell ref="F102:I102"/>
    <mergeCell ref="J102:L102"/>
  </mergeCells>
  <pageMargins left="0.25" right="0" top="0.25" bottom="0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47"/>
  <sheetViews>
    <sheetView topLeftCell="A91" zoomScale="130" zoomScaleNormal="130" workbookViewId="0">
      <selection activeCell="A100" sqref="A100:N105"/>
    </sheetView>
  </sheetViews>
  <sheetFormatPr defaultRowHeight="16.5"/>
  <cols>
    <col min="1" max="1" width="5.140625" style="2" customWidth="1"/>
    <col min="2" max="2" width="16.42578125" style="2" customWidth="1"/>
    <col min="3" max="3" width="4.7109375" style="2" customWidth="1"/>
    <col min="4" max="4" width="18.140625" style="12" customWidth="1"/>
    <col min="5" max="5" width="8.28515625" style="12" customWidth="1"/>
    <col min="6" max="6" width="10.140625" style="13" customWidth="1"/>
    <col min="7" max="7" width="10.85546875" style="13" customWidth="1"/>
    <col min="8" max="8" width="11" style="13" customWidth="1"/>
    <col min="9" max="9" width="7.42578125" style="13" customWidth="1"/>
    <col min="10" max="10" width="9.140625" style="12" customWidth="1"/>
    <col min="11" max="12" width="9.140625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19.5" customHeight="1">
      <c r="A1" s="750" t="s">
        <v>504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46" t="s">
        <v>752</v>
      </c>
      <c r="N3" s="747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48"/>
      <c r="N4" s="749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382" t="s">
        <v>753</v>
      </c>
      <c r="N5" s="383" t="s">
        <v>754</v>
      </c>
    </row>
    <row r="6" spans="1:14" ht="21" customHeight="1">
      <c r="A6" s="15"/>
      <c r="B6" s="35" t="s">
        <v>19</v>
      </c>
      <c r="C6" s="15">
        <v>1</v>
      </c>
      <c r="D6" s="81" t="s">
        <v>489</v>
      </c>
      <c r="E6" s="82">
        <v>160</v>
      </c>
      <c r="F6" s="83">
        <v>1.02</v>
      </c>
      <c r="G6" s="18"/>
      <c r="H6" s="82">
        <v>100</v>
      </c>
      <c r="I6" s="15">
        <v>1</v>
      </c>
      <c r="J6" s="123">
        <v>25.3</v>
      </c>
      <c r="K6" s="123">
        <v>4.0599999999999996</v>
      </c>
      <c r="L6" s="124">
        <f>J6+K6</f>
        <v>29.36</v>
      </c>
      <c r="M6" s="444">
        <v>0.76</v>
      </c>
      <c r="N6" s="444">
        <f>M6*34.12</f>
        <v>25.931199999999997</v>
      </c>
    </row>
    <row r="7" spans="1:14" ht="21" customHeight="1">
      <c r="A7" s="22"/>
      <c r="B7" s="54" t="s">
        <v>838</v>
      </c>
      <c r="C7" s="22">
        <v>2</v>
      </c>
      <c r="D7" s="86" t="s">
        <v>505</v>
      </c>
      <c r="E7" s="87">
        <v>176</v>
      </c>
      <c r="F7" s="88">
        <v>0.8</v>
      </c>
      <c r="G7" s="24"/>
      <c r="H7" s="87">
        <v>100</v>
      </c>
      <c r="I7" s="22">
        <v>1</v>
      </c>
      <c r="J7" s="98">
        <v>22</v>
      </c>
      <c r="K7" s="98">
        <v>3.4</v>
      </c>
      <c r="L7" s="99">
        <f t="shared" ref="L7:L16" si="0">J7+K7</f>
        <v>25.4</v>
      </c>
      <c r="M7" s="445">
        <v>0.76</v>
      </c>
      <c r="N7" s="445">
        <f t="shared" ref="N7:N24" si="1">M7*34.12</f>
        <v>25.931199999999997</v>
      </c>
    </row>
    <row r="8" spans="1:14" ht="21" customHeight="1">
      <c r="A8" s="22"/>
      <c r="B8" s="22"/>
      <c r="C8" s="22">
        <v>3</v>
      </c>
      <c r="D8" s="86" t="s">
        <v>506</v>
      </c>
      <c r="E8" s="87">
        <v>52</v>
      </c>
      <c r="F8" s="689">
        <v>1.1499999999999999</v>
      </c>
      <c r="G8" s="665"/>
      <c r="H8" s="687">
        <v>100</v>
      </c>
      <c r="I8" s="690">
        <v>1</v>
      </c>
      <c r="J8" s="656">
        <v>27.25</v>
      </c>
      <c r="K8" s="656">
        <v>4.45</v>
      </c>
      <c r="L8" s="685">
        <f>K8+J8</f>
        <v>31.7</v>
      </c>
      <c r="M8" s="744">
        <v>0.76</v>
      </c>
      <c r="N8" s="744">
        <f t="shared" si="1"/>
        <v>25.931199999999997</v>
      </c>
    </row>
    <row r="9" spans="1:14" ht="21" customHeight="1">
      <c r="A9" s="22"/>
      <c r="B9" s="22"/>
      <c r="C9" s="22">
        <v>4</v>
      </c>
      <c r="D9" s="86" t="s">
        <v>114</v>
      </c>
      <c r="E9" s="87">
        <v>23</v>
      </c>
      <c r="F9" s="689"/>
      <c r="G9" s="665"/>
      <c r="H9" s="687"/>
      <c r="I9" s="665"/>
      <c r="J9" s="656"/>
      <c r="K9" s="656"/>
      <c r="L9" s="685"/>
      <c r="M9" s="744"/>
      <c r="N9" s="744"/>
    </row>
    <row r="10" spans="1:14" ht="21" customHeight="1">
      <c r="A10" s="22"/>
      <c r="B10" s="22"/>
      <c r="C10" s="22">
        <v>5</v>
      </c>
      <c r="D10" s="86" t="s">
        <v>23</v>
      </c>
      <c r="E10" s="87">
        <v>63</v>
      </c>
      <c r="F10" s="88">
        <v>0.4</v>
      </c>
      <c r="G10" s="24"/>
      <c r="H10" s="87">
        <v>50</v>
      </c>
      <c r="I10" s="22">
        <v>1</v>
      </c>
      <c r="J10" s="98">
        <v>15</v>
      </c>
      <c r="K10" s="98">
        <v>2.2000000000000002</v>
      </c>
      <c r="L10" s="99">
        <f t="shared" si="0"/>
        <v>17.2</v>
      </c>
      <c r="M10" s="445">
        <v>0.56999999999999995</v>
      </c>
      <c r="N10" s="445">
        <f t="shared" si="1"/>
        <v>19.448399999999996</v>
      </c>
    </row>
    <row r="11" spans="1:14" ht="21" customHeight="1">
      <c r="A11" s="22"/>
      <c r="B11" s="22"/>
      <c r="C11" s="22">
        <v>6</v>
      </c>
      <c r="D11" s="86" t="s">
        <v>507</v>
      </c>
      <c r="E11" s="87">
        <v>51</v>
      </c>
      <c r="F11" s="88">
        <v>0.3</v>
      </c>
      <c r="G11" s="24"/>
      <c r="H11" s="87">
        <v>50</v>
      </c>
      <c r="I11" s="22">
        <v>1</v>
      </c>
      <c r="J11" s="98">
        <v>13.5</v>
      </c>
      <c r="K11" s="98">
        <v>1.9</v>
      </c>
      <c r="L11" s="99">
        <f t="shared" si="0"/>
        <v>15.4</v>
      </c>
      <c r="M11" s="445">
        <v>0.56999999999999995</v>
      </c>
      <c r="N11" s="445">
        <f t="shared" si="1"/>
        <v>19.448399999999996</v>
      </c>
    </row>
    <row r="12" spans="1:14" ht="21" customHeight="1">
      <c r="A12" s="22"/>
      <c r="B12" s="22"/>
      <c r="C12" s="22">
        <v>7</v>
      </c>
      <c r="D12" s="86" t="s">
        <v>508</v>
      </c>
      <c r="E12" s="87">
        <v>128</v>
      </c>
      <c r="F12" s="88">
        <v>0.7</v>
      </c>
      <c r="G12" s="24"/>
      <c r="H12" s="87">
        <v>50</v>
      </c>
      <c r="I12" s="22">
        <v>1</v>
      </c>
      <c r="J12" s="98">
        <v>19.5</v>
      </c>
      <c r="K12" s="98">
        <v>3.1</v>
      </c>
      <c r="L12" s="99">
        <f t="shared" si="0"/>
        <v>22.6</v>
      </c>
      <c r="M12" s="445">
        <v>0.56999999999999995</v>
      </c>
      <c r="N12" s="445">
        <f t="shared" si="1"/>
        <v>19.448399999999996</v>
      </c>
    </row>
    <row r="13" spans="1:14" ht="21" customHeight="1">
      <c r="A13" s="22"/>
      <c r="B13" s="22"/>
      <c r="C13" s="22">
        <v>8</v>
      </c>
      <c r="D13" s="86" t="s">
        <v>509</v>
      </c>
      <c r="E13" s="87">
        <v>119</v>
      </c>
      <c r="F13" s="88">
        <v>1.2</v>
      </c>
      <c r="G13" s="24"/>
      <c r="H13" s="87">
        <v>100</v>
      </c>
      <c r="I13" s="22">
        <v>1</v>
      </c>
      <c r="J13" s="98">
        <v>28</v>
      </c>
      <c r="K13" s="98">
        <v>4.5999999999999996</v>
      </c>
      <c r="L13" s="99">
        <f t="shared" si="0"/>
        <v>32.6</v>
      </c>
      <c r="M13" s="445">
        <v>0.76</v>
      </c>
      <c r="N13" s="445">
        <f t="shared" si="1"/>
        <v>25.931199999999997</v>
      </c>
    </row>
    <row r="14" spans="1:14" ht="21" customHeight="1">
      <c r="A14" s="22"/>
      <c r="B14" s="22"/>
      <c r="C14" s="22">
        <v>9</v>
      </c>
      <c r="D14" s="86" t="s">
        <v>510</v>
      </c>
      <c r="E14" s="87">
        <v>97</v>
      </c>
      <c r="F14" s="88">
        <v>0.5</v>
      </c>
      <c r="G14" s="24"/>
      <c r="H14" s="87">
        <v>50</v>
      </c>
      <c r="I14" s="22">
        <v>1</v>
      </c>
      <c r="J14" s="98">
        <v>16.5</v>
      </c>
      <c r="K14" s="98">
        <v>2.5</v>
      </c>
      <c r="L14" s="99">
        <f t="shared" si="0"/>
        <v>19</v>
      </c>
      <c r="M14" s="445">
        <v>0.56999999999999995</v>
      </c>
      <c r="N14" s="445">
        <f t="shared" si="1"/>
        <v>19.448399999999996</v>
      </c>
    </row>
    <row r="15" spans="1:14" ht="21" customHeight="1">
      <c r="A15" s="22"/>
      <c r="B15" s="22"/>
      <c r="C15" s="22">
        <v>10</v>
      </c>
      <c r="D15" s="86" t="s">
        <v>511</v>
      </c>
      <c r="E15" s="87">
        <v>55</v>
      </c>
      <c r="F15" s="88">
        <v>0.8</v>
      </c>
      <c r="G15" s="24"/>
      <c r="H15" s="87">
        <v>50</v>
      </c>
      <c r="I15" s="22">
        <v>1</v>
      </c>
      <c r="J15" s="98">
        <v>21</v>
      </c>
      <c r="K15" s="98">
        <v>3.4</v>
      </c>
      <c r="L15" s="99">
        <f t="shared" si="0"/>
        <v>24.4</v>
      </c>
      <c r="M15" s="445">
        <v>0.56999999999999995</v>
      </c>
      <c r="N15" s="445">
        <f t="shared" si="1"/>
        <v>19.448399999999996</v>
      </c>
    </row>
    <row r="16" spans="1:14" ht="21" customHeight="1">
      <c r="A16" s="22"/>
      <c r="B16" s="22"/>
      <c r="C16" s="22">
        <v>11</v>
      </c>
      <c r="D16" s="86" t="s">
        <v>512</v>
      </c>
      <c r="E16" s="87">
        <v>43</v>
      </c>
      <c r="F16" s="88">
        <v>0.9</v>
      </c>
      <c r="G16" s="24"/>
      <c r="H16" s="87">
        <v>50</v>
      </c>
      <c r="I16" s="22">
        <v>1</v>
      </c>
      <c r="J16" s="98">
        <v>22.5</v>
      </c>
      <c r="K16" s="98">
        <v>3.7</v>
      </c>
      <c r="L16" s="99">
        <f t="shared" si="0"/>
        <v>26.2</v>
      </c>
      <c r="M16" s="445">
        <v>0.56999999999999995</v>
      </c>
      <c r="N16" s="445">
        <f t="shared" si="1"/>
        <v>19.448399999999996</v>
      </c>
    </row>
    <row r="17" spans="1:14" ht="21" customHeight="1">
      <c r="A17" s="22"/>
      <c r="B17" s="22"/>
      <c r="C17" s="22">
        <v>12</v>
      </c>
      <c r="D17" s="86" t="s">
        <v>513</v>
      </c>
      <c r="E17" s="87">
        <v>135</v>
      </c>
      <c r="F17" s="88">
        <v>0.4</v>
      </c>
      <c r="G17" s="24"/>
      <c r="H17" s="87">
        <v>100</v>
      </c>
      <c r="I17" s="22">
        <v>1</v>
      </c>
      <c r="J17" s="98">
        <v>16</v>
      </c>
      <c r="K17" s="98">
        <v>2.2000000000000002</v>
      </c>
      <c r="L17" s="99">
        <f t="shared" ref="L17:L33" si="2">K17+J17</f>
        <v>18.2</v>
      </c>
      <c r="M17" s="445">
        <v>0.76</v>
      </c>
      <c r="N17" s="445">
        <f t="shared" si="1"/>
        <v>25.931199999999997</v>
      </c>
    </row>
    <row r="18" spans="1:14" ht="21" customHeight="1">
      <c r="A18" s="22"/>
      <c r="B18" s="22"/>
      <c r="C18" s="22">
        <v>13</v>
      </c>
      <c r="D18" s="86" t="s">
        <v>482</v>
      </c>
      <c r="E18" s="87">
        <v>115</v>
      </c>
      <c r="F18" s="88">
        <v>1.2</v>
      </c>
      <c r="G18" s="24"/>
      <c r="H18" s="87">
        <v>100</v>
      </c>
      <c r="I18" s="22">
        <v>1</v>
      </c>
      <c r="J18" s="98">
        <v>28</v>
      </c>
      <c r="K18" s="98">
        <v>4.5999999999999996</v>
      </c>
      <c r="L18" s="99">
        <f t="shared" si="2"/>
        <v>32.6</v>
      </c>
      <c r="M18" s="445">
        <v>0.76</v>
      </c>
      <c r="N18" s="445">
        <f t="shared" si="1"/>
        <v>25.931199999999997</v>
      </c>
    </row>
    <row r="19" spans="1:14" ht="21" customHeight="1">
      <c r="A19" s="22"/>
      <c r="B19" s="22"/>
      <c r="C19" s="22">
        <v>14</v>
      </c>
      <c r="D19" s="86" t="s">
        <v>514</v>
      </c>
      <c r="E19" s="87">
        <v>113</v>
      </c>
      <c r="F19" s="88">
        <v>1.5</v>
      </c>
      <c r="G19" s="24"/>
      <c r="H19" s="87">
        <v>50</v>
      </c>
      <c r="I19" s="22">
        <v>1</v>
      </c>
      <c r="J19" s="98">
        <v>31.5</v>
      </c>
      <c r="K19" s="98">
        <v>5.5</v>
      </c>
      <c r="L19" s="99">
        <f t="shared" si="2"/>
        <v>37</v>
      </c>
      <c r="M19" s="445">
        <v>0.56999999999999995</v>
      </c>
      <c r="N19" s="445">
        <f t="shared" si="1"/>
        <v>19.448399999999996</v>
      </c>
    </row>
    <row r="20" spans="1:14" ht="21" customHeight="1">
      <c r="A20" s="22"/>
      <c r="B20" s="22"/>
      <c r="C20" s="22">
        <v>15</v>
      </c>
      <c r="D20" s="86" t="s">
        <v>515</v>
      </c>
      <c r="E20" s="87">
        <v>136</v>
      </c>
      <c r="F20" s="88">
        <v>2</v>
      </c>
      <c r="G20" s="24"/>
      <c r="H20" s="87">
        <v>160</v>
      </c>
      <c r="I20" s="22">
        <v>1</v>
      </c>
      <c r="J20" s="98">
        <v>41</v>
      </c>
      <c r="K20" s="98">
        <v>7</v>
      </c>
      <c r="L20" s="99">
        <f t="shared" si="2"/>
        <v>48</v>
      </c>
      <c r="M20" s="445">
        <v>0.8</v>
      </c>
      <c r="N20" s="445">
        <f t="shared" si="1"/>
        <v>27.295999999999999</v>
      </c>
    </row>
    <row r="21" spans="1:14" ht="21" customHeight="1">
      <c r="A21" s="22"/>
      <c r="B21" s="22"/>
      <c r="C21" s="22">
        <v>16</v>
      </c>
      <c r="D21" s="86" t="s">
        <v>516</v>
      </c>
      <c r="E21" s="87">
        <v>116</v>
      </c>
      <c r="F21" s="88">
        <v>0.4</v>
      </c>
      <c r="G21" s="24"/>
      <c r="H21" s="87">
        <v>50</v>
      </c>
      <c r="I21" s="22">
        <v>1</v>
      </c>
      <c r="J21" s="98">
        <v>15</v>
      </c>
      <c r="K21" s="98">
        <v>2.2000000000000002</v>
      </c>
      <c r="L21" s="99">
        <f t="shared" si="2"/>
        <v>17.2</v>
      </c>
      <c r="M21" s="445">
        <v>0.56999999999999995</v>
      </c>
      <c r="N21" s="445">
        <f t="shared" si="1"/>
        <v>19.448399999999996</v>
      </c>
    </row>
    <row r="22" spans="1:14" ht="21" customHeight="1">
      <c r="A22" s="22"/>
      <c r="B22" s="22"/>
      <c r="C22" s="22">
        <v>17</v>
      </c>
      <c r="D22" s="86" t="s">
        <v>517</v>
      </c>
      <c r="E22" s="87">
        <v>70</v>
      </c>
      <c r="F22" s="88">
        <v>0.8</v>
      </c>
      <c r="G22" s="24"/>
      <c r="H22" s="87">
        <v>50</v>
      </c>
      <c r="I22" s="22">
        <v>1</v>
      </c>
      <c r="J22" s="98">
        <v>21</v>
      </c>
      <c r="K22" s="98">
        <v>3.4</v>
      </c>
      <c r="L22" s="99">
        <f t="shared" si="2"/>
        <v>24.4</v>
      </c>
      <c r="M22" s="445">
        <v>0.56999999999999995</v>
      </c>
      <c r="N22" s="445">
        <f t="shared" si="1"/>
        <v>19.448399999999996</v>
      </c>
    </row>
    <row r="23" spans="1:14" ht="21" customHeight="1">
      <c r="A23" s="22"/>
      <c r="B23" s="22"/>
      <c r="C23" s="22">
        <v>18</v>
      </c>
      <c r="D23" s="86" t="s">
        <v>518</v>
      </c>
      <c r="E23" s="87">
        <v>212</v>
      </c>
      <c r="F23" s="88">
        <v>1.2</v>
      </c>
      <c r="G23" s="24"/>
      <c r="H23" s="87">
        <v>100</v>
      </c>
      <c r="I23" s="22">
        <v>1</v>
      </c>
      <c r="J23" s="98">
        <v>28</v>
      </c>
      <c r="K23" s="98">
        <v>4.5999999999999996</v>
      </c>
      <c r="L23" s="99">
        <f t="shared" si="2"/>
        <v>32.6</v>
      </c>
      <c r="M23" s="445">
        <v>0.76</v>
      </c>
      <c r="N23" s="445">
        <f t="shared" si="1"/>
        <v>25.931199999999997</v>
      </c>
    </row>
    <row r="24" spans="1:14" ht="21" customHeight="1">
      <c r="A24" s="29"/>
      <c r="B24" s="29"/>
      <c r="C24" s="29">
        <v>19</v>
      </c>
      <c r="D24" s="91" t="s">
        <v>519</v>
      </c>
      <c r="E24" s="92">
        <v>147</v>
      </c>
      <c r="F24" s="93">
        <v>0.9</v>
      </c>
      <c r="G24" s="31"/>
      <c r="H24" s="92">
        <v>160</v>
      </c>
      <c r="I24" s="29">
        <v>1</v>
      </c>
      <c r="J24" s="102">
        <v>24.5</v>
      </c>
      <c r="K24" s="102">
        <v>3.7</v>
      </c>
      <c r="L24" s="103">
        <f t="shared" si="2"/>
        <v>28.2</v>
      </c>
      <c r="M24" s="446">
        <v>0.8</v>
      </c>
      <c r="N24" s="446">
        <f t="shared" si="1"/>
        <v>27.295999999999999</v>
      </c>
    </row>
    <row r="25" spans="1:14" ht="19.5" customHeight="1">
      <c r="A25" s="750" t="s">
        <v>504</v>
      </c>
      <c r="B25" s="750"/>
      <c r="C25" s="750"/>
      <c r="D25" s="750"/>
      <c r="E25" s="750"/>
      <c r="F25" s="750"/>
      <c r="G25" s="750"/>
      <c r="H25" s="750"/>
      <c r="I25" s="750"/>
      <c r="J25" s="750"/>
      <c r="K25" s="750"/>
      <c r="L25" s="750"/>
    </row>
    <row r="26" spans="1:14">
      <c r="A26" s="319"/>
      <c r="B26" s="320"/>
      <c r="C26" s="320"/>
      <c r="D26" s="320"/>
      <c r="E26" s="320"/>
      <c r="F26" s="321"/>
      <c r="G26" s="321"/>
      <c r="H26" s="750"/>
      <c r="I26" s="750"/>
      <c r="J26" s="750"/>
    </row>
    <row r="27" spans="1:14" s="5" customFormat="1" ht="27.75" customHeight="1">
      <c r="A27" s="654" t="s">
        <v>1</v>
      </c>
      <c r="B27" s="632" t="s">
        <v>755</v>
      </c>
      <c r="C27" s="646" t="s">
        <v>21</v>
      </c>
      <c r="D27" s="647"/>
      <c r="E27" s="652" t="s">
        <v>756</v>
      </c>
      <c r="F27" s="654" t="s">
        <v>3</v>
      </c>
      <c r="G27" s="654"/>
      <c r="H27" s="654"/>
      <c r="I27" s="654"/>
      <c r="J27" s="654" t="s">
        <v>761</v>
      </c>
      <c r="K27" s="654"/>
      <c r="L27" s="654"/>
      <c r="M27" s="746" t="s">
        <v>752</v>
      </c>
      <c r="N27" s="747"/>
    </row>
    <row r="28" spans="1:14" s="5" customFormat="1" ht="40.5" customHeight="1">
      <c r="A28" s="654"/>
      <c r="B28" s="633"/>
      <c r="C28" s="648"/>
      <c r="D28" s="649"/>
      <c r="E28" s="652"/>
      <c r="F28" s="652" t="s">
        <v>757</v>
      </c>
      <c r="G28" s="652" t="s">
        <v>5</v>
      </c>
      <c r="H28" s="652" t="s">
        <v>6</v>
      </c>
      <c r="I28" s="652"/>
      <c r="J28" s="652" t="s">
        <v>22</v>
      </c>
      <c r="K28" s="652" t="s">
        <v>762</v>
      </c>
      <c r="L28" s="654" t="s">
        <v>8</v>
      </c>
      <c r="M28" s="748"/>
      <c r="N28" s="749"/>
    </row>
    <row r="29" spans="1:14" s="5" customFormat="1" ht="58.5" customHeight="1">
      <c r="A29" s="632"/>
      <c r="B29" s="634"/>
      <c r="C29" s="650"/>
      <c r="D29" s="651"/>
      <c r="E29" s="653"/>
      <c r="F29" s="653"/>
      <c r="G29" s="653"/>
      <c r="H29" s="381" t="s">
        <v>9</v>
      </c>
      <c r="I29" s="381" t="s">
        <v>10</v>
      </c>
      <c r="J29" s="653"/>
      <c r="K29" s="632"/>
      <c r="L29" s="632"/>
      <c r="M29" s="439" t="s">
        <v>753</v>
      </c>
      <c r="N29" s="440" t="s">
        <v>754</v>
      </c>
    </row>
    <row r="30" spans="1:14" ht="21" customHeight="1">
      <c r="A30" s="15"/>
      <c r="B30" s="35" t="s">
        <v>19</v>
      </c>
      <c r="C30" s="15">
        <v>20</v>
      </c>
      <c r="D30" s="81" t="s">
        <v>520</v>
      </c>
      <c r="E30" s="82">
        <v>137</v>
      </c>
      <c r="F30" s="83">
        <v>0.4</v>
      </c>
      <c r="G30" s="18"/>
      <c r="H30" s="82">
        <v>160</v>
      </c>
      <c r="I30" s="15">
        <v>1</v>
      </c>
      <c r="J30" s="123">
        <v>17</v>
      </c>
      <c r="K30" s="123">
        <v>2.2000000000000002</v>
      </c>
      <c r="L30" s="124">
        <f t="shared" si="2"/>
        <v>19.2</v>
      </c>
      <c r="M30" s="444">
        <v>0.8</v>
      </c>
      <c r="N30" s="444">
        <f t="shared" ref="N30:N48" si="3">M30*34.12</f>
        <v>27.295999999999999</v>
      </c>
    </row>
    <row r="31" spans="1:14" ht="21" customHeight="1">
      <c r="A31" s="22"/>
      <c r="B31" s="54" t="s">
        <v>838</v>
      </c>
      <c r="C31" s="22">
        <v>21</v>
      </c>
      <c r="D31" s="86" t="s">
        <v>521</v>
      </c>
      <c r="E31" s="87">
        <v>138</v>
      </c>
      <c r="F31" s="88">
        <v>1.7</v>
      </c>
      <c r="G31" s="24"/>
      <c r="H31" s="87">
        <v>200</v>
      </c>
      <c r="I31" s="22">
        <v>1</v>
      </c>
      <c r="J31" s="98">
        <v>37</v>
      </c>
      <c r="K31" s="98">
        <v>6.1</v>
      </c>
      <c r="L31" s="99">
        <f t="shared" si="2"/>
        <v>43.1</v>
      </c>
      <c r="M31" s="445">
        <v>1</v>
      </c>
      <c r="N31" s="445">
        <f t="shared" si="3"/>
        <v>34.119999999999997</v>
      </c>
    </row>
    <row r="32" spans="1:14" ht="21" customHeight="1">
      <c r="A32" s="22"/>
      <c r="B32" s="22"/>
      <c r="C32" s="22">
        <v>22</v>
      </c>
      <c r="D32" s="86" t="s">
        <v>522</v>
      </c>
      <c r="E32" s="87">
        <v>374</v>
      </c>
      <c r="F32" s="88">
        <v>1</v>
      </c>
      <c r="G32" s="24"/>
      <c r="H32" s="87">
        <v>200</v>
      </c>
      <c r="I32" s="22">
        <v>1</v>
      </c>
      <c r="J32" s="98">
        <v>26.5</v>
      </c>
      <c r="K32" s="98">
        <v>4</v>
      </c>
      <c r="L32" s="99">
        <f t="shared" si="2"/>
        <v>30.5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23</v>
      </c>
      <c r="D33" s="86" t="s">
        <v>523</v>
      </c>
      <c r="E33" s="87">
        <v>50</v>
      </c>
      <c r="F33" s="689">
        <v>0.6</v>
      </c>
      <c r="G33" s="24"/>
      <c r="H33" s="687">
        <v>50</v>
      </c>
      <c r="I33" s="690">
        <v>1</v>
      </c>
      <c r="J33" s="656">
        <v>18</v>
      </c>
      <c r="K33" s="656">
        <v>2.8</v>
      </c>
      <c r="L33" s="685">
        <f t="shared" si="2"/>
        <v>20.8</v>
      </c>
      <c r="M33" s="744">
        <v>0.56999999999999995</v>
      </c>
      <c r="N33" s="744">
        <f t="shared" si="3"/>
        <v>19.448399999999996</v>
      </c>
    </row>
    <row r="34" spans="1:14" ht="21" customHeight="1">
      <c r="A34" s="22"/>
      <c r="B34" s="22"/>
      <c r="C34" s="22">
        <v>24</v>
      </c>
      <c r="D34" s="86" t="s">
        <v>524</v>
      </c>
      <c r="E34" s="87">
        <v>66</v>
      </c>
      <c r="F34" s="689"/>
      <c r="G34" s="24"/>
      <c r="H34" s="687"/>
      <c r="I34" s="690"/>
      <c r="J34" s="656"/>
      <c r="K34" s="656"/>
      <c r="L34" s="685"/>
      <c r="M34" s="744"/>
      <c r="N34" s="744"/>
    </row>
    <row r="35" spans="1:14" ht="21" customHeight="1">
      <c r="A35" s="22"/>
      <c r="B35" s="22"/>
      <c r="C35" s="22">
        <v>25</v>
      </c>
      <c r="D35" s="86" t="s">
        <v>525</v>
      </c>
      <c r="E35" s="87">
        <v>50</v>
      </c>
      <c r="F35" s="88">
        <v>0.7</v>
      </c>
      <c r="G35" s="24"/>
      <c r="H35" s="87">
        <v>50</v>
      </c>
      <c r="I35" s="22">
        <v>1</v>
      </c>
      <c r="J35" s="98">
        <v>19.5</v>
      </c>
      <c r="K35" s="98">
        <v>3.1</v>
      </c>
      <c r="L35" s="99">
        <f>K35+J35</f>
        <v>22.6</v>
      </c>
      <c r="M35" s="445">
        <v>0.56999999999999995</v>
      </c>
      <c r="N35" s="445">
        <f t="shared" si="3"/>
        <v>19.448399999999996</v>
      </c>
    </row>
    <row r="36" spans="1:14" ht="21" customHeight="1">
      <c r="A36" s="22"/>
      <c r="B36" s="22"/>
      <c r="C36" s="22">
        <v>26</v>
      </c>
      <c r="D36" s="86" t="s">
        <v>526</v>
      </c>
      <c r="E36" s="87">
        <v>57</v>
      </c>
      <c r="F36" s="88">
        <v>0.8</v>
      </c>
      <c r="G36" s="24"/>
      <c r="H36" s="87">
        <v>50</v>
      </c>
      <c r="I36" s="22">
        <v>1</v>
      </c>
      <c r="J36" s="98">
        <v>21</v>
      </c>
      <c r="K36" s="98">
        <v>3.4</v>
      </c>
      <c r="L36" s="99">
        <f>K36+J36</f>
        <v>24.4</v>
      </c>
      <c r="M36" s="445">
        <v>0.56999999999999995</v>
      </c>
      <c r="N36" s="445">
        <f t="shared" si="3"/>
        <v>19.448399999999996</v>
      </c>
    </row>
    <row r="37" spans="1:14" ht="21" customHeight="1">
      <c r="A37" s="22"/>
      <c r="B37" s="22"/>
      <c r="C37" s="22">
        <v>27</v>
      </c>
      <c r="D37" s="86" t="s">
        <v>498</v>
      </c>
      <c r="E37" s="87">
        <v>50</v>
      </c>
      <c r="F37" s="88">
        <v>0.6</v>
      </c>
      <c r="G37" s="24"/>
      <c r="H37" s="87">
        <v>50</v>
      </c>
      <c r="I37" s="22">
        <v>1</v>
      </c>
      <c r="J37" s="98">
        <v>18</v>
      </c>
      <c r="K37" s="98">
        <v>2.8</v>
      </c>
      <c r="L37" s="99">
        <f>K37+J37</f>
        <v>20.8</v>
      </c>
      <c r="M37" s="445">
        <v>0.56999999999999995</v>
      </c>
      <c r="N37" s="445">
        <f t="shared" si="3"/>
        <v>19.448399999999996</v>
      </c>
    </row>
    <row r="38" spans="1:14" ht="21" customHeight="1">
      <c r="A38" s="22"/>
      <c r="B38" s="22"/>
      <c r="C38" s="22">
        <v>28</v>
      </c>
      <c r="D38" s="86" t="s">
        <v>527</v>
      </c>
      <c r="E38" s="87">
        <v>68</v>
      </c>
      <c r="F38" s="88">
        <v>0.4</v>
      </c>
      <c r="G38" s="24"/>
      <c r="H38" s="87">
        <v>50</v>
      </c>
      <c r="I38" s="22">
        <v>1</v>
      </c>
      <c r="J38" s="98">
        <v>15</v>
      </c>
      <c r="K38" s="98">
        <v>2.2000000000000002</v>
      </c>
      <c r="L38" s="99">
        <f>K38+J38</f>
        <v>17.2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29</v>
      </c>
      <c r="D39" s="86" t="s">
        <v>264</v>
      </c>
      <c r="E39" s="87">
        <v>120</v>
      </c>
      <c r="F39" s="88">
        <v>0.8</v>
      </c>
      <c r="G39" s="24"/>
      <c r="H39" s="87">
        <v>100</v>
      </c>
      <c r="I39" s="22">
        <v>1</v>
      </c>
      <c r="J39" s="98">
        <v>22</v>
      </c>
      <c r="K39" s="98">
        <v>3.4</v>
      </c>
      <c r="L39" s="99">
        <f t="shared" ref="L39:L93" si="4">K39+J39</f>
        <v>25.4</v>
      </c>
      <c r="M39" s="445">
        <v>0.76</v>
      </c>
      <c r="N39" s="445">
        <f t="shared" si="3"/>
        <v>25.931199999999997</v>
      </c>
    </row>
    <row r="40" spans="1:14" ht="21" customHeight="1">
      <c r="A40" s="22"/>
      <c r="B40" s="22"/>
      <c r="C40" s="22">
        <v>30</v>
      </c>
      <c r="D40" s="86" t="s">
        <v>528</v>
      </c>
      <c r="E40" s="87">
        <v>144</v>
      </c>
      <c r="F40" s="88">
        <v>1.1000000000000001</v>
      </c>
      <c r="G40" s="24"/>
      <c r="H40" s="87">
        <v>50</v>
      </c>
      <c r="I40" s="22">
        <v>1</v>
      </c>
      <c r="J40" s="98">
        <v>25.5</v>
      </c>
      <c r="K40" s="98">
        <v>4.3</v>
      </c>
      <c r="L40" s="99">
        <f t="shared" si="4"/>
        <v>29.8</v>
      </c>
      <c r="M40" s="445">
        <v>0.56999999999999995</v>
      </c>
      <c r="N40" s="445">
        <f t="shared" si="3"/>
        <v>19.448399999999996</v>
      </c>
    </row>
    <row r="41" spans="1:14" ht="21" customHeight="1">
      <c r="A41" s="22"/>
      <c r="B41" s="22"/>
      <c r="C41" s="22">
        <v>31</v>
      </c>
      <c r="D41" s="86" t="s">
        <v>457</v>
      </c>
      <c r="E41" s="87">
        <v>91</v>
      </c>
      <c r="F41" s="88">
        <v>0.7</v>
      </c>
      <c r="G41" s="24"/>
      <c r="H41" s="87">
        <v>50</v>
      </c>
      <c r="I41" s="22">
        <v>1</v>
      </c>
      <c r="J41" s="98">
        <v>19.5</v>
      </c>
      <c r="K41" s="98">
        <v>3.1</v>
      </c>
      <c r="L41" s="99">
        <f t="shared" si="4"/>
        <v>22.6</v>
      </c>
      <c r="M41" s="445">
        <v>0.56999999999999995</v>
      </c>
      <c r="N41" s="445">
        <f t="shared" si="3"/>
        <v>19.448399999999996</v>
      </c>
    </row>
    <row r="42" spans="1:14" ht="21" customHeight="1">
      <c r="A42" s="22"/>
      <c r="B42" s="22"/>
      <c r="C42" s="22">
        <v>32</v>
      </c>
      <c r="D42" s="86" t="s">
        <v>529</v>
      </c>
      <c r="E42" s="87">
        <v>70</v>
      </c>
      <c r="F42" s="88">
        <v>0.2</v>
      </c>
      <c r="G42" s="24"/>
      <c r="H42" s="87">
        <v>50</v>
      </c>
      <c r="I42" s="22">
        <v>1</v>
      </c>
      <c r="J42" s="98">
        <v>12</v>
      </c>
      <c r="K42" s="98">
        <v>1.6</v>
      </c>
      <c r="L42" s="99">
        <f t="shared" si="4"/>
        <v>13.6</v>
      </c>
      <c r="M42" s="445">
        <v>0.56999999999999995</v>
      </c>
      <c r="N42" s="445">
        <f t="shared" si="3"/>
        <v>19.448399999999996</v>
      </c>
    </row>
    <row r="43" spans="1:14" ht="21" customHeight="1">
      <c r="A43" s="22"/>
      <c r="B43" s="22"/>
      <c r="C43" s="22">
        <v>33</v>
      </c>
      <c r="D43" s="86" t="s">
        <v>530</v>
      </c>
      <c r="E43" s="87">
        <v>67</v>
      </c>
      <c r="F43" s="88">
        <v>0.4</v>
      </c>
      <c r="G43" s="24"/>
      <c r="H43" s="87">
        <v>50</v>
      </c>
      <c r="I43" s="22">
        <v>1</v>
      </c>
      <c r="J43" s="98">
        <v>15</v>
      </c>
      <c r="K43" s="98">
        <v>2.2000000000000002</v>
      </c>
      <c r="L43" s="99">
        <f t="shared" si="4"/>
        <v>17.2</v>
      </c>
      <c r="M43" s="445">
        <v>0.56999999999999995</v>
      </c>
      <c r="N43" s="445">
        <f t="shared" si="3"/>
        <v>19.448399999999996</v>
      </c>
    </row>
    <row r="44" spans="1:14" ht="21" customHeight="1">
      <c r="A44" s="22"/>
      <c r="B44" s="22"/>
      <c r="C44" s="22">
        <v>34</v>
      </c>
      <c r="D44" s="86" t="s">
        <v>531</v>
      </c>
      <c r="E44" s="87">
        <v>35</v>
      </c>
      <c r="F44" s="88">
        <v>0.8</v>
      </c>
      <c r="G44" s="24"/>
      <c r="H44" s="87">
        <v>50</v>
      </c>
      <c r="I44" s="22">
        <v>1</v>
      </c>
      <c r="J44" s="98">
        <v>21</v>
      </c>
      <c r="K44" s="98">
        <v>3.4</v>
      </c>
      <c r="L44" s="99">
        <f t="shared" si="4"/>
        <v>24.4</v>
      </c>
      <c r="M44" s="445">
        <v>0.56999999999999995</v>
      </c>
      <c r="N44" s="445">
        <f t="shared" si="3"/>
        <v>19.448399999999996</v>
      </c>
    </row>
    <row r="45" spans="1:14" ht="21" customHeight="1">
      <c r="A45" s="22"/>
      <c r="B45" s="22"/>
      <c r="C45" s="22">
        <v>35</v>
      </c>
      <c r="D45" s="86" t="s">
        <v>532</v>
      </c>
      <c r="E45" s="87">
        <v>82</v>
      </c>
      <c r="F45" s="88">
        <v>0.7</v>
      </c>
      <c r="G45" s="24"/>
      <c r="H45" s="87">
        <v>50</v>
      </c>
      <c r="I45" s="22">
        <v>1</v>
      </c>
      <c r="J45" s="98">
        <v>19.5</v>
      </c>
      <c r="K45" s="98">
        <v>3.1</v>
      </c>
      <c r="L45" s="99">
        <f t="shared" si="4"/>
        <v>22.6</v>
      </c>
      <c r="M45" s="445">
        <v>0.56999999999999995</v>
      </c>
      <c r="N45" s="445">
        <f t="shared" si="3"/>
        <v>19.448399999999996</v>
      </c>
    </row>
    <row r="46" spans="1:14" ht="21" customHeight="1">
      <c r="A46" s="22"/>
      <c r="B46" s="22"/>
      <c r="C46" s="22">
        <v>36</v>
      </c>
      <c r="D46" s="86" t="s">
        <v>533</v>
      </c>
      <c r="E46" s="87">
        <v>47</v>
      </c>
      <c r="F46" s="88">
        <v>0.5</v>
      </c>
      <c r="G46" s="24"/>
      <c r="H46" s="87">
        <v>50</v>
      </c>
      <c r="I46" s="22">
        <v>1</v>
      </c>
      <c r="J46" s="98">
        <v>16.5</v>
      </c>
      <c r="K46" s="98">
        <v>2.5</v>
      </c>
      <c r="L46" s="99">
        <f t="shared" si="4"/>
        <v>19</v>
      </c>
      <c r="M46" s="445">
        <v>0.56999999999999995</v>
      </c>
      <c r="N46" s="445">
        <f t="shared" si="3"/>
        <v>19.448399999999996</v>
      </c>
    </row>
    <row r="47" spans="1:14" ht="21" customHeight="1">
      <c r="A47" s="22"/>
      <c r="B47" s="22"/>
      <c r="C47" s="22">
        <v>37</v>
      </c>
      <c r="D47" s="86" t="s">
        <v>534</v>
      </c>
      <c r="E47" s="87">
        <v>62</v>
      </c>
      <c r="F47" s="88">
        <v>0.4</v>
      </c>
      <c r="G47" s="24"/>
      <c r="H47" s="87">
        <v>50</v>
      </c>
      <c r="I47" s="22">
        <v>1</v>
      </c>
      <c r="J47" s="98">
        <v>15</v>
      </c>
      <c r="K47" s="98">
        <v>2.2000000000000002</v>
      </c>
      <c r="L47" s="99">
        <f t="shared" si="4"/>
        <v>17.2</v>
      </c>
      <c r="M47" s="445">
        <v>0.56999999999999995</v>
      </c>
      <c r="N47" s="445">
        <f t="shared" si="3"/>
        <v>19.448399999999996</v>
      </c>
    </row>
    <row r="48" spans="1:14" ht="21" customHeight="1">
      <c r="A48" s="29"/>
      <c r="B48" s="29"/>
      <c r="C48" s="29">
        <v>38</v>
      </c>
      <c r="D48" s="91" t="s">
        <v>23</v>
      </c>
      <c r="E48" s="92">
        <v>74</v>
      </c>
      <c r="F48" s="93">
        <v>0.5</v>
      </c>
      <c r="G48" s="31"/>
      <c r="H48" s="92">
        <v>50</v>
      </c>
      <c r="I48" s="29">
        <v>1</v>
      </c>
      <c r="J48" s="102">
        <v>16.5</v>
      </c>
      <c r="K48" s="102">
        <v>2.5</v>
      </c>
      <c r="L48" s="103">
        <f t="shared" si="4"/>
        <v>19</v>
      </c>
      <c r="M48" s="446">
        <v>0.56999999999999995</v>
      </c>
      <c r="N48" s="446">
        <f t="shared" si="3"/>
        <v>19.448399999999996</v>
      </c>
    </row>
    <row r="49" spans="1:14">
      <c r="A49" s="750" t="s">
        <v>504</v>
      </c>
      <c r="B49" s="750"/>
      <c r="C49" s="750"/>
      <c r="D49" s="750"/>
      <c r="E49" s="750"/>
      <c r="F49" s="750"/>
      <c r="G49" s="750"/>
      <c r="H49" s="750"/>
      <c r="I49" s="750"/>
      <c r="J49" s="750"/>
      <c r="K49" s="750"/>
      <c r="L49" s="750"/>
    </row>
    <row r="50" spans="1:14">
      <c r="A50" s="319"/>
      <c r="B50" s="320"/>
      <c r="C50" s="320"/>
      <c r="D50" s="320"/>
      <c r="E50" s="320"/>
      <c r="F50" s="321"/>
      <c r="G50" s="321"/>
      <c r="H50" s="750"/>
      <c r="I50" s="750"/>
      <c r="J50" s="750"/>
    </row>
    <row r="51" spans="1:14" s="5" customFormat="1" ht="27.75" customHeight="1">
      <c r="A51" s="654" t="s">
        <v>1</v>
      </c>
      <c r="B51" s="632" t="s">
        <v>755</v>
      </c>
      <c r="C51" s="646" t="s">
        <v>21</v>
      </c>
      <c r="D51" s="647"/>
      <c r="E51" s="652" t="s">
        <v>756</v>
      </c>
      <c r="F51" s="654" t="s">
        <v>3</v>
      </c>
      <c r="G51" s="654"/>
      <c r="H51" s="654"/>
      <c r="I51" s="654"/>
      <c r="J51" s="654" t="s">
        <v>761</v>
      </c>
      <c r="K51" s="654"/>
      <c r="L51" s="654"/>
      <c r="M51" s="746" t="s">
        <v>752</v>
      </c>
      <c r="N51" s="747"/>
    </row>
    <row r="52" spans="1:14" s="5" customFormat="1" ht="40.5" customHeight="1">
      <c r="A52" s="654"/>
      <c r="B52" s="633"/>
      <c r="C52" s="648"/>
      <c r="D52" s="649"/>
      <c r="E52" s="652"/>
      <c r="F52" s="652" t="s">
        <v>757</v>
      </c>
      <c r="G52" s="652" t="s">
        <v>5</v>
      </c>
      <c r="H52" s="652" t="s">
        <v>6</v>
      </c>
      <c r="I52" s="652"/>
      <c r="J52" s="652" t="s">
        <v>22</v>
      </c>
      <c r="K52" s="652" t="s">
        <v>762</v>
      </c>
      <c r="L52" s="654" t="s">
        <v>8</v>
      </c>
      <c r="M52" s="748"/>
      <c r="N52" s="749"/>
    </row>
    <row r="53" spans="1:14" s="5" customFormat="1" ht="58.5" customHeight="1">
      <c r="A53" s="632"/>
      <c r="B53" s="634"/>
      <c r="C53" s="650"/>
      <c r="D53" s="651"/>
      <c r="E53" s="653"/>
      <c r="F53" s="653"/>
      <c r="G53" s="653"/>
      <c r="H53" s="381" t="s">
        <v>9</v>
      </c>
      <c r="I53" s="381" t="s">
        <v>10</v>
      </c>
      <c r="J53" s="653"/>
      <c r="K53" s="632"/>
      <c r="L53" s="632"/>
      <c r="M53" s="439" t="s">
        <v>753</v>
      </c>
      <c r="N53" s="440" t="s">
        <v>754</v>
      </c>
    </row>
    <row r="54" spans="1:14" ht="21.95" customHeight="1">
      <c r="A54" s="15"/>
      <c r="B54" s="35" t="s">
        <v>19</v>
      </c>
      <c r="C54" s="15">
        <v>39</v>
      </c>
      <c r="D54" s="81" t="s">
        <v>535</v>
      </c>
      <c r="E54" s="82">
        <v>67</v>
      </c>
      <c r="F54" s="83">
        <v>0.7</v>
      </c>
      <c r="G54" s="18"/>
      <c r="H54" s="82">
        <v>50</v>
      </c>
      <c r="I54" s="15">
        <v>1</v>
      </c>
      <c r="J54" s="123">
        <v>19.5</v>
      </c>
      <c r="K54" s="123">
        <v>3.1</v>
      </c>
      <c r="L54" s="124">
        <f t="shared" si="4"/>
        <v>22.6</v>
      </c>
      <c r="M54" s="444">
        <v>0.56999999999999995</v>
      </c>
      <c r="N54" s="444">
        <f t="shared" ref="N54:N72" si="5">M54*34.12</f>
        <v>19.448399999999996</v>
      </c>
    </row>
    <row r="55" spans="1:14" ht="21.95" customHeight="1">
      <c r="A55" s="22"/>
      <c r="B55" s="54" t="s">
        <v>838</v>
      </c>
      <c r="C55" s="22">
        <v>40</v>
      </c>
      <c r="D55" s="86" t="s">
        <v>536</v>
      </c>
      <c r="E55" s="87">
        <v>43</v>
      </c>
      <c r="F55" s="88">
        <v>0.8</v>
      </c>
      <c r="G55" s="24"/>
      <c r="H55" s="87">
        <v>50</v>
      </c>
      <c r="I55" s="22">
        <v>1</v>
      </c>
      <c r="J55" s="98">
        <v>21</v>
      </c>
      <c r="K55" s="98">
        <v>3.4</v>
      </c>
      <c r="L55" s="99">
        <f t="shared" si="4"/>
        <v>24.4</v>
      </c>
      <c r="M55" s="445">
        <v>0.56999999999999995</v>
      </c>
      <c r="N55" s="445">
        <f t="shared" si="5"/>
        <v>19.448399999999996</v>
      </c>
    </row>
    <row r="56" spans="1:14" ht="21.95" customHeight="1">
      <c r="A56" s="22"/>
      <c r="B56" s="22"/>
      <c r="C56" s="22">
        <v>41</v>
      </c>
      <c r="D56" s="86" t="s">
        <v>537</v>
      </c>
      <c r="E56" s="87">
        <v>184</v>
      </c>
      <c r="F56" s="88">
        <v>0.4</v>
      </c>
      <c r="G56" s="24"/>
      <c r="H56" s="87">
        <v>50</v>
      </c>
      <c r="I56" s="22">
        <v>1</v>
      </c>
      <c r="J56" s="98">
        <v>15</v>
      </c>
      <c r="K56" s="98">
        <v>2.2000000000000002</v>
      </c>
      <c r="L56" s="99">
        <f t="shared" si="4"/>
        <v>17.2</v>
      </c>
      <c r="M56" s="445">
        <v>0.56999999999999995</v>
      </c>
      <c r="N56" s="445">
        <f t="shared" si="5"/>
        <v>19.448399999999996</v>
      </c>
    </row>
    <row r="57" spans="1:14" ht="21.95" customHeight="1">
      <c r="A57" s="22"/>
      <c r="B57" s="22"/>
      <c r="C57" s="22">
        <v>42</v>
      </c>
      <c r="D57" s="86" t="s">
        <v>538</v>
      </c>
      <c r="E57" s="87">
        <v>104</v>
      </c>
      <c r="F57" s="88">
        <v>0.3</v>
      </c>
      <c r="G57" s="24"/>
      <c r="H57" s="87">
        <v>100</v>
      </c>
      <c r="I57" s="22">
        <v>1</v>
      </c>
      <c r="J57" s="98">
        <v>14.5</v>
      </c>
      <c r="K57" s="98">
        <v>1.9</v>
      </c>
      <c r="L57" s="99">
        <f t="shared" si="4"/>
        <v>16.399999999999999</v>
      </c>
      <c r="M57" s="445">
        <v>0.76</v>
      </c>
      <c r="N57" s="445">
        <f t="shared" si="5"/>
        <v>25.931199999999997</v>
      </c>
    </row>
    <row r="58" spans="1:14" ht="21.95" customHeight="1">
      <c r="A58" s="22"/>
      <c r="B58" s="22"/>
      <c r="C58" s="22">
        <v>43</v>
      </c>
      <c r="D58" s="86" t="s">
        <v>489</v>
      </c>
      <c r="E58" s="87">
        <v>249</v>
      </c>
      <c r="F58" s="88">
        <v>1.2</v>
      </c>
      <c r="G58" s="24"/>
      <c r="H58" s="87">
        <v>200</v>
      </c>
      <c r="I58" s="22">
        <v>1</v>
      </c>
      <c r="J58" s="98">
        <v>29.5</v>
      </c>
      <c r="K58" s="98">
        <v>4.5999999999999996</v>
      </c>
      <c r="L58" s="99">
        <f t="shared" si="4"/>
        <v>34.1</v>
      </c>
      <c r="M58" s="445">
        <v>1</v>
      </c>
      <c r="N58" s="445">
        <f t="shared" si="5"/>
        <v>34.119999999999997</v>
      </c>
    </row>
    <row r="59" spans="1:14" ht="21.95" customHeight="1">
      <c r="A59" s="22"/>
      <c r="B59" s="22"/>
      <c r="C59" s="22">
        <v>44</v>
      </c>
      <c r="D59" s="86" t="s">
        <v>489</v>
      </c>
      <c r="E59" s="87">
        <v>76</v>
      </c>
      <c r="F59" s="88">
        <v>0.6</v>
      </c>
      <c r="G59" s="24"/>
      <c r="H59" s="87">
        <v>50</v>
      </c>
      <c r="I59" s="22">
        <v>1</v>
      </c>
      <c r="J59" s="98">
        <v>18</v>
      </c>
      <c r="K59" s="98">
        <v>2.8</v>
      </c>
      <c r="L59" s="99">
        <f t="shared" si="4"/>
        <v>20.8</v>
      </c>
      <c r="M59" s="445">
        <v>0.56999999999999995</v>
      </c>
      <c r="N59" s="445">
        <f t="shared" si="5"/>
        <v>19.448399999999996</v>
      </c>
    </row>
    <row r="60" spans="1:14" ht="21.95" customHeight="1">
      <c r="A60" s="22"/>
      <c r="B60" s="22"/>
      <c r="C60" s="22">
        <v>45</v>
      </c>
      <c r="D60" s="86" t="s">
        <v>93</v>
      </c>
      <c r="E60" s="87">
        <v>48</v>
      </c>
      <c r="F60" s="88">
        <v>0.4</v>
      </c>
      <c r="G60" s="24"/>
      <c r="H60" s="87">
        <v>50</v>
      </c>
      <c r="I60" s="22">
        <v>1</v>
      </c>
      <c r="J60" s="98">
        <v>15</v>
      </c>
      <c r="K60" s="98">
        <v>2.2000000000000002</v>
      </c>
      <c r="L60" s="99">
        <f t="shared" si="4"/>
        <v>17.2</v>
      </c>
      <c r="M60" s="445">
        <v>0.56999999999999995</v>
      </c>
      <c r="N60" s="445">
        <f t="shared" si="5"/>
        <v>19.448399999999996</v>
      </c>
    </row>
    <row r="61" spans="1:14" ht="21.95" customHeight="1">
      <c r="A61" s="22"/>
      <c r="B61" s="22"/>
      <c r="C61" s="22">
        <v>46</v>
      </c>
      <c r="D61" s="86" t="s">
        <v>539</v>
      </c>
      <c r="E61" s="87">
        <v>38</v>
      </c>
      <c r="F61" s="88">
        <v>0.9</v>
      </c>
      <c r="G61" s="24"/>
      <c r="H61" s="87">
        <v>50</v>
      </c>
      <c r="I61" s="22">
        <v>1</v>
      </c>
      <c r="J61" s="98">
        <v>22.5</v>
      </c>
      <c r="K61" s="98">
        <v>3.7</v>
      </c>
      <c r="L61" s="99">
        <f t="shared" si="4"/>
        <v>26.2</v>
      </c>
      <c r="M61" s="445">
        <v>0.56999999999999995</v>
      </c>
      <c r="N61" s="445">
        <f t="shared" si="5"/>
        <v>19.448399999999996</v>
      </c>
    </row>
    <row r="62" spans="1:14" ht="21.95" customHeight="1">
      <c r="A62" s="22"/>
      <c r="B62" s="22"/>
      <c r="C62" s="22">
        <v>47</v>
      </c>
      <c r="D62" s="86" t="s">
        <v>540</v>
      </c>
      <c r="E62" s="87">
        <v>103</v>
      </c>
      <c r="F62" s="88">
        <v>1.2</v>
      </c>
      <c r="G62" s="24"/>
      <c r="H62" s="87">
        <v>100</v>
      </c>
      <c r="I62" s="22">
        <v>1</v>
      </c>
      <c r="J62" s="98">
        <v>28</v>
      </c>
      <c r="K62" s="98">
        <v>4.5999999999999996</v>
      </c>
      <c r="L62" s="99">
        <f t="shared" si="4"/>
        <v>32.6</v>
      </c>
      <c r="M62" s="445">
        <v>0.76</v>
      </c>
      <c r="N62" s="445">
        <f t="shared" si="5"/>
        <v>25.931199999999997</v>
      </c>
    </row>
    <row r="63" spans="1:14" ht="21.95" customHeight="1">
      <c r="A63" s="22"/>
      <c r="B63" s="22"/>
      <c r="C63" s="22">
        <v>48</v>
      </c>
      <c r="D63" s="86" t="s">
        <v>541</v>
      </c>
      <c r="E63" s="87">
        <v>79</v>
      </c>
      <c r="F63" s="88">
        <v>0.5</v>
      </c>
      <c r="G63" s="24"/>
      <c r="H63" s="87">
        <v>50</v>
      </c>
      <c r="I63" s="22">
        <v>1</v>
      </c>
      <c r="J63" s="98">
        <v>16.5</v>
      </c>
      <c r="K63" s="98">
        <v>2.5</v>
      </c>
      <c r="L63" s="99">
        <f t="shared" si="4"/>
        <v>19</v>
      </c>
      <c r="M63" s="445">
        <v>0.56999999999999995</v>
      </c>
      <c r="N63" s="445">
        <f t="shared" si="5"/>
        <v>19.448399999999996</v>
      </c>
    </row>
    <row r="64" spans="1:14" ht="21.95" customHeight="1">
      <c r="A64" s="22"/>
      <c r="B64" s="22"/>
      <c r="C64" s="22">
        <v>49</v>
      </c>
      <c r="D64" s="86" t="s">
        <v>542</v>
      </c>
      <c r="E64" s="87">
        <v>38</v>
      </c>
      <c r="F64" s="88">
        <v>0.6</v>
      </c>
      <c r="G64" s="24"/>
      <c r="H64" s="87">
        <v>50</v>
      </c>
      <c r="I64" s="22">
        <v>1</v>
      </c>
      <c r="J64" s="98">
        <v>18</v>
      </c>
      <c r="K64" s="98">
        <v>2.8</v>
      </c>
      <c r="L64" s="99">
        <f t="shared" si="4"/>
        <v>20.8</v>
      </c>
      <c r="M64" s="445">
        <v>0.56999999999999995</v>
      </c>
      <c r="N64" s="445">
        <f t="shared" si="5"/>
        <v>19.448399999999996</v>
      </c>
    </row>
    <row r="65" spans="1:14" ht="21.95" customHeight="1">
      <c r="A65" s="22"/>
      <c r="B65" s="22"/>
      <c r="C65" s="22">
        <v>50</v>
      </c>
      <c r="D65" s="86" t="s">
        <v>543</v>
      </c>
      <c r="E65" s="87">
        <v>112</v>
      </c>
      <c r="F65" s="88">
        <v>0.8</v>
      </c>
      <c r="G65" s="24"/>
      <c r="H65" s="87">
        <v>50</v>
      </c>
      <c r="I65" s="22">
        <v>1</v>
      </c>
      <c r="J65" s="98">
        <v>21</v>
      </c>
      <c r="K65" s="98">
        <v>3.4</v>
      </c>
      <c r="L65" s="99">
        <f t="shared" si="4"/>
        <v>24.4</v>
      </c>
      <c r="M65" s="445">
        <v>0.56999999999999995</v>
      </c>
      <c r="N65" s="445">
        <f t="shared" si="5"/>
        <v>19.448399999999996</v>
      </c>
    </row>
    <row r="66" spans="1:14" ht="21.95" customHeight="1">
      <c r="A66" s="22"/>
      <c r="B66" s="22"/>
      <c r="C66" s="22">
        <v>51</v>
      </c>
      <c r="D66" s="86" t="s">
        <v>544</v>
      </c>
      <c r="E66" s="87">
        <v>60</v>
      </c>
      <c r="F66" s="88">
        <v>0.8</v>
      </c>
      <c r="G66" s="24"/>
      <c r="H66" s="87">
        <v>50</v>
      </c>
      <c r="I66" s="22">
        <v>1</v>
      </c>
      <c r="J66" s="98">
        <v>21</v>
      </c>
      <c r="K66" s="98">
        <v>3.4</v>
      </c>
      <c r="L66" s="99">
        <f t="shared" si="4"/>
        <v>24.4</v>
      </c>
      <c r="M66" s="445">
        <v>0.56999999999999995</v>
      </c>
      <c r="N66" s="445">
        <f t="shared" si="5"/>
        <v>19.448399999999996</v>
      </c>
    </row>
    <row r="67" spans="1:14" ht="21.95" customHeight="1">
      <c r="A67" s="22"/>
      <c r="B67" s="22"/>
      <c r="C67" s="22">
        <v>52</v>
      </c>
      <c r="D67" s="86" t="s">
        <v>545</v>
      </c>
      <c r="E67" s="87">
        <v>48</v>
      </c>
      <c r="F67" s="88">
        <v>0.4</v>
      </c>
      <c r="G67" s="24"/>
      <c r="H67" s="87">
        <v>50</v>
      </c>
      <c r="I67" s="22">
        <v>1</v>
      </c>
      <c r="J67" s="98">
        <v>15</v>
      </c>
      <c r="K67" s="98">
        <v>2.2000000000000002</v>
      </c>
      <c r="L67" s="99">
        <f t="shared" si="4"/>
        <v>17.2</v>
      </c>
      <c r="M67" s="445">
        <v>0.56999999999999995</v>
      </c>
      <c r="N67" s="445">
        <f t="shared" si="5"/>
        <v>19.448399999999996</v>
      </c>
    </row>
    <row r="68" spans="1:14" ht="21.95" customHeight="1">
      <c r="A68" s="22"/>
      <c r="B68" s="22"/>
      <c r="C68" s="22">
        <v>53</v>
      </c>
      <c r="D68" s="86" t="s">
        <v>177</v>
      </c>
      <c r="E68" s="87">
        <v>54</v>
      </c>
      <c r="F68" s="88">
        <v>0.6</v>
      </c>
      <c r="G68" s="24"/>
      <c r="H68" s="87">
        <v>50</v>
      </c>
      <c r="I68" s="22">
        <v>1</v>
      </c>
      <c r="J68" s="98">
        <v>18</v>
      </c>
      <c r="K68" s="98">
        <v>2.8</v>
      </c>
      <c r="L68" s="99">
        <f t="shared" si="4"/>
        <v>20.8</v>
      </c>
      <c r="M68" s="445">
        <v>0.56999999999999995</v>
      </c>
      <c r="N68" s="445">
        <f t="shared" si="5"/>
        <v>19.448399999999996</v>
      </c>
    </row>
    <row r="69" spans="1:14" ht="21.95" customHeight="1">
      <c r="A69" s="22"/>
      <c r="B69" s="22"/>
      <c r="C69" s="22">
        <v>54</v>
      </c>
      <c r="D69" s="86" t="s">
        <v>546</v>
      </c>
      <c r="E69" s="87">
        <v>171</v>
      </c>
      <c r="F69" s="88">
        <v>0.8</v>
      </c>
      <c r="G69" s="24"/>
      <c r="H69" s="87">
        <v>100</v>
      </c>
      <c r="I69" s="22">
        <v>1</v>
      </c>
      <c r="J69" s="98">
        <v>22</v>
      </c>
      <c r="K69" s="98">
        <v>3.4</v>
      </c>
      <c r="L69" s="99">
        <f t="shared" si="4"/>
        <v>25.4</v>
      </c>
      <c r="M69" s="445">
        <v>0.76</v>
      </c>
      <c r="N69" s="445">
        <f t="shared" si="5"/>
        <v>25.931199999999997</v>
      </c>
    </row>
    <row r="70" spans="1:14" ht="21.95" customHeight="1">
      <c r="A70" s="22"/>
      <c r="B70" s="22"/>
      <c r="C70" s="22">
        <v>55</v>
      </c>
      <c r="D70" s="86" t="s">
        <v>547</v>
      </c>
      <c r="E70" s="87">
        <v>76</v>
      </c>
      <c r="F70" s="88">
        <v>0.2</v>
      </c>
      <c r="G70" s="24"/>
      <c r="H70" s="87">
        <v>50</v>
      </c>
      <c r="I70" s="22">
        <v>1</v>
      </c>
      <c r="J70" s="98">
        <v>12</v>
      </c>
      <c r="K70" s="98">
        <v>1.6</v>
      </c>
      <c r="L70" s="99">
        <f t="shared" si="4"/>
        <v>13.6</v>
      </c>
      <c r="M70" s="445">
        <v>0.56999999999999995</v>
      </c>
      <c r="N70" s="445">
        <f t="shared" si="5"/>
        <v>19.448399999999996</v>
      </c>
    </row>
    <row r="71" spans="1:14" ht="21.95" customHeight="1">
      <c r="A71" s="22"/>
      <c r="B71" s="22"/>
      <c r="C71" s="22">
        <v>56</v>
      </c>
      <c r="D71" s="86" t="s">
        <v>548</v>
      </c>
      <c r="E71" s="87">
        <v>30</v>
      </c>
      <c r="F71" s="88">
        <v>0.5</v>
      </c>
      <c r="G71" s="24"/>
      <c r="H71" s="87">
        <v>50</v>
      </c>
      <c r="I71" s="22">
        <v>1</v>
      </c>
      <c r="J71" s="98">
        <v>16.5</v>
      </c>
      <c r="K71" s="98">
        <v>2.5</v>
      </c>
      <c r="L71" s="99">
        <f t="shared" si="4"/>
        <v>19</v>
      </c>
      <c r="M71" s="445">
        <v>0.56999999999999995</v>
      </c>
      <c r="N71" s="445">
        <f t="shared" si="5"/>
        <v>19.448399999999996</v>
      </c>
    </row>
    <row r="72" spans="1:14" ht="21.95" customHeight="1">
      <c r="A72" s="29"/>
      <c r="B72" s="29"/>
      <c r="C72" s="29">
        <v>57</v>
      </c>
      <c r="D72" s="91" t="s">
        <v>23</v>
      </c>
      <c r="E72" s="92">
        <v>52</v>
      </c>
      <c r="F72" s="93">
        <v>0.5</v>
      </c>
      <c r="G72" s="31"/>
      <c r="H72" s="92">
        <v>50</v>
      </c>
      <c r="I72" s="29">
        <v>1</v>
      </c>
      <c r="J72" s="102">
        <v>16.5</v>
      </c>
      <c r="K72" s="102">
        <v>2.5</v>
      </c>
      <c r="L72" s="103">
        <f t="shared" si="4"/>
        <v>19</v>
      </c>
      <c r="M72" s="446">
        <v>0.56999999999999995</v>
      </c>
      <c r="N72" s="446">
        <f t="shared" si="5"/>
        <v>19.448399999999996</v>
      </c>
    </row>
    <row r="73" spans="1:14" ht="21" customHeight="1">
      <c r="A73" s="74"/>
      <c r="B73" s="74"/>
      <c r="C73" s="74"/>
      <c r="D73" s="75"/>
      <c r="E73" s="76"/>
      <c r="F73" s="77"/>
      <c r="G73" s="2"/>
      <c r="H73" s="76"/>
      <c r="I73" s="74"/>
      <c r="J73" s="322"/>
      <c r="K73" s="322"/>
      <c r="L73" s="323"/>
      <c r="M73" s="448"/>
      <c r="N73" s="448"/>
    </row>
    <row r="74" spans="1:14" ht="19.5" customHeight="1">
      <c r="A74" s="750" t="s">
        <v>504</v>
      </c>
      <c r="B74" s="750"/>
      <c r="C74" s="750"/>
      <c r="D74" s="750"/>
      <c r="E74" s="750"/>
      <c r="F74" s="750"/>
      <c r="G74" s="750"/>
      <c r="H74" s="750"/>
      <c r="I74" s="750"/>
      <c r="J74" s="750"/>
      <c r="K74" s="750"/>
      <c r="L74" s="750"/>
    </row>
    <row r="75" spans="1:14">
      <c r="A75" s="319"/>
      <c r="B75" s="320"/>
      <c r="C75" s="320"/>
      <c r="D75" s="320"/>
      <c r="E75" s="320"/>
      <c r="F75" s="321"/>
      <c r="G75" s="321"/>
      <c r="H75" s="750"/>
      <c r="I75" s="750"/>
      <c r="J75" s="750"/>
    </row>
    <row r="76" spans="1:14" s="5" customFormat="1" ht="27.75" customHeight="1">
      <c r="A76" s="654" t="s">
        <v>1</v>
      </c>
      <c r="B76" s="632" t="s">
        <v>755</v>
      </c>
      <c r="C76" s="646" t="s">
        <v>21</v>
      </c>
      <c r="D76" s="647"/>
      <c r="E76" s="652" t="s">
        <v>756</v>
      </c>
      <c r="F76" s="654" t="s">
        <v>3</v>
      </c>
      <c r="G76" s="654"/>
      <c r="H76" s="654"/>
      <c r="I76" s="654"/>
      <c r="J76" s="654" t="s">
        <v>761</v>
      </c>
      <c r="K76" s="654"/>
      <c r="L76" s="654"/>
      <c r="M76" s="746" t="s">
        <v>752</v>
      </c>
      <c r="N76" s="747"/>
    </row>
    <row r="77" spans="1:14" s="5" customFormat="1" ht="40.5" customHeight="1">
      <c r="A77" s="654"/>
      <c r="B77" s="633"/>
      <c r="C77" s="648"/>
      <c r="D77" s="649"/>
      <c r="E77" s="652"/>
      <c r="F77" s="652" t="s">
        <v>757</v>
      </c>
      <c r="G77" s="652" t="s">
        <v>5</v>
      </c>
      <c r="H77" s="652" t="s">
        <v>6</v>
      </c>
      <c r="I77" s="652"/>
      <c r="J77" s="652" t="s">
        <v>22</v>
      </c>
      <c r="K77" s="652" t="s">
        <v>762</v>
      </c>
      <c r="L77" s="654" t="s">
        <v>8</v>
      </c>
      <c r="M77" s="748"/>
      <c r="N77" s="749"/>
    </row>
    <row r="78" spans="1:14" s="5" customFormat="1" ht="58.5" customHeight="1">
      <c r="A78" s="632"/>
      <c r="B78" s="634"/>
      <c r="C78" s="650"/>
      <c r="D78" s="651"/>
      <c r="E78" s="653"/>
      <c r="F78" s="653"/>
      <c r="G78" s="653"/>
      <c r="H78" s="381" t="s">
        <v>9</v>
      </c>
      <c r="I78" s="381" t="s">
        <v>10</v>
      </c>
      <c r="J78" s="653"/>
      <c r="K78" s="632"/>
      <c r="L78" s="632"/>
      <c r="M78" s="439" t="s">
        <v>753</v>
      </c>
      <c r="N78" s="440" t="s">
        <v>754</v>
      </c>
    </row>
    <row r="79" spans="1:14" ht="21" customHeight="1">
      <c r="A79" s="15"/>
      <c r="B79" s="35" t="s">
        <v>19</v>
      </c>
      <c r="C79" s="15">
        <v>58</v>
      </c>
      <c r="D79" s="81" t="s">
        <v>549</v>
      </c>
      <c r="E79" s="82">
        <v>20</v>
      </c>
      <c r="F79" s="83">
        <v>0.2</v>
      </c>
      <c r="G79" s="18"/>
      <c r="H79" s="82">
        <v>50</v>
      </c>
      <c r="I79" s="15">
        <v>1</v>
      </c>
      <c r="J79" s="123">
        <v>12</v>
      </c>
      <c r="K79" s="123">
        <v>1.6</v>
      </c>
      <c r="L79" s="124">
        <f t="shared" si="4"/>
        <v>13.6</v>
      </c>
      <c r="M79" s="444">
        <v>0.56999999999999995</v>
      </c>
      <c r="N79" s="444">
        <f t="shared" ref="N79:N97" si="6">M79*34.12</f>
        <v>19.448399999999996</v>
      </c>
    </row>
    <row r="80" spans="1:14" ht="21" customHeight="1">
      <c r="A80" s="22"/>
      <c r="B80" s="54" t="s">
        <v>838</v>
      </c>
      <c r="C80" s="22">
        <v>59</v>
      </c>
      <c r="D80" s="86" t="s">
        <v>143</v>
      </c>
      <c r="E80" s="87">
        <v>30</v>
      </c>
      <c r="F80" s="88">
        <v>0.1</v>
      </c>
      <c r="G80" s="24"/>
      <c r="H80" s="87">
        <v>50</v>
      </c>
      <c r="I80" s="22">
        <v>1</v>
      </c>
      <c r="J80" s="98">
        <v>10.5</v>
      </c>
      <c r="K80" s="98">
        <v>1.3</v>
      </c>
      <c r="L80" s="99">
        <f t="shared" si="4"/>
        <v>11.8</v>
      </c>
      <c r="M80" s="445">
        <v>0.56999999999999995</v>
      </c>
      <c r="N80" s="445">
        <f t="shared" si="6"/>
        <v>19.448399999999996</v>
      </c>
    </row>
    <row r="81" spans="1:14" ht="21" customHeight="1">
      <c r="A81" s="22"/>
      <c r="B81" s="22"/>
      <c r="C81" s="22">
        <v>60</v>
      </c>
      <c r="D81" s="86" t="s">
        <v>550</v>
      </c>
      <c r="E81" s="87">
        <v>192</v>
      </c>
      <c r="F81" s="88">
        <v>0.9</v>
      </c>
      <c r="G81" s="24"/>
      <c r="H81" s="87">
        <v>160</v>
      </c>
      <c r="I81" s="22">
        <v>1</v>
      </c>
      <c r="J81" s="98">
        <v>24.5</v>
      </c>
      <c r="K81" s="98">
        <v>3.7</v>
      </c>
      <c r="L81" s="99">
        <f t="shared" si="4"/>
        <v>28.2</v>
      </c>
      <c r="M81" s="445">
        <v>0.8</v>
      </c>
      <c r="N81" s="445">
        <f t="shared" si="6"/>
        <v>27.295999999999999</v>
      </c>
    </row>
    <row r="82" spans="1:14" ht="21" customHeight="1">
      <c r="A82" s="22"/>
      <c r="B82" s="22"/>
      <c r="C82" s="22">
        <v>61</v>
      </c>
      <c r="D82" s="86" t="s">
        <v>91</v>
      </c>
      <c r="E82" s="87">
        <v>34</v>
      </c>
      <c r="F82" s="88">
        <v>0.9</v>
      </c>
      <c r="G82" s="24"/>
      <c r="H82" s="87">
        <v>50</v>
      </c>
      <c r="I82" s="22">
        <v>1</v>
      </c>
      <c r="J82" s="98">
        <v>22.5</v>
      </c>
      <c r="K82" s="98">
        <v>3.7</v>
      </c>
      <c r="L82" s="99">
        <f t="shared" si="4"/>
        <v>26.2</v>
      </c>
      <c r="M82" s="445">
        <v>0.56999999999999995</v>
      </c>
      <c r="N82" s="445">
        <f t="shared" si="6"/>
        <v>19.448399999999996</v>
      </c>
    </row>
    <row r="83" spans="1:14" ht="21" customHeight="1">
      <c r="A83" s="22"/>
      <c r="B83" s="22"/>
      <c r="C83" s="22">
        <v>62</v>
      </c>
      <c r="D83" s="86" t="s">
        <v>551</v>
      </c>
      <c r="E83" s="87">
        <v>64</v>
      </c>
      <c r="F83" s="88">
        <v>1.1000000000000001</v>
      </c>
      <c r="G83" s="24"/>
      <c r="H83" s="87">
        <v>50</v>
      </c>
      <c r="I83" s="22">
        <v>1</v>
      </c>
      <c r="J83" s="98">
        <v>25.5</v>
      </c>
      <c r="K83" s="98">
        <v>4.3</v>
      </c>
      <c r="L83" s="99">
        <f t="shared" si="4"/>
        <v>29.8</v>
      </c>
      <c r="M83" s="445">
        <v>0.56999999999999995</v>
      </c>
      <c r="N83" s="445">
        <f t="shared" si="6"/>
        <v>19.448399999999996</v>
      </c>
    </row>
    <row r="84" spans="1:14" ht="21" customHeight="1">
      <c r="A84" s="22"/>
      <c r="B84" s="22"/>
      <c r="C84" s="22">
        <v>63</v>
      </c>
      <c r="D84" s="86" t="s">
        <v>552</v>
      </c>
      <c r="E84" s="87">
        <v>160</v>
      </c>
      <c r="F84" s="88">
        <v>0.9</v>
      </c>
      <c r="G84" s="24"/>
      <c r="H84" s="87">
        <v>100</v>
      </c>
      <c r="I84" s="22">
        <v>1</v>
      </c>
      <c r="J84" s="98">
        <v>23.5</v>
      </c>
      <c r="K84" s="98">
        <v>3.7</v>
      </c>
      <c r="L84" s="99">
        <f t="shared" si="4"/>
        <v>27.2</v>
      </c>
      <c r="M84" s="445">
        <v>0.76</v>
      </c>
      <c r="N84" s="445">
        <f t="shared" si="6"/>
        <v>25.931199999999997</v>
      </c>
    </row>
    <row r="85" spans="1:14" ht="21" customHeight="1">
      <c r="A85" s="22"/>
      <c r="B85" s="22"/>
      <c r="C85" s="22">
        <v>64</v>
      </c>
      <c r="D85" s="86" t="s">
        <v>553</v>
      </c>
      <c r="E85" s="87">
        <v>158</v>
      </c>
      <c r="F85" s="88">
        <v>0.9</v>
      </c>
      <c r="G85" s="24"/>
      <c r="H85" s="87">
        <v>100</v>
      </c>
      <c r="I85" s="22">
        <v>1</v>
      </c>
      <c r="J85" s="98">
        <v>23.5</v>
      </c>
      <c r="K85" s="98">
        <v>3.7</v>
      </c>
      <c r="L85" s="99">
        <f t="shared" si="4"/>
        <v>27.2</v>
      </c>
      <c r="M85" s="445">
        <v>0.76</v>
      </c>
      <c r="N85" s="445">
        <f t="shared" si="6"/>
        <v>25.931199999999997</v>
      </c>
    </row>
    <row r="86" spans="1:14" ht="21" customHeight="1">
      <c r="A86" s="22"/>
      <c r="B86" s="22"/>
      <c r="C86" s="22">
        <v>65</v>
      </c>
      <c r="D86" s="86" t="s">
        <v>554</v>
      </c>
      <c r="E86" s="87">
        <v>199</v>
      </c>
      <c r="F86" s="88">
        <v>0.3</v>
      </c>
      <c r="G86" s="24"/>
      <c r="H86" s="87">
        <v>160</v>
      </c>
      <c r="I86" s="22">
        <v>1</v>
      </c>
      <c r="J86" s="98">
        <v>15.5</v>
      </c>
      <c r="K86" s="98">
        <v>1.9</v>
      </c>
      <c r="L86" s="99">
        <f t="shared" si="4"/>
        <v>17.399999999999999</v>
      </c>
      <c r="M86" s="445">
        <v>0.8</v>
      </c>
      <c r="N86" s="445">
        <f t="shared" si="6"/>
        <v>27.295999999999999</v>
      </c>
    </row>
    <row r="87" spans="1:14" ht="21" customHeight="1">
      <c r="A87" s="22"/>
      <c r="B87" s="22"/>
      <c r="C87" s="22">
        <v>66</v>
      </c>
      <c r="D87" s="86" t="s">
        <v>555</v>
      </c>
      <c r="E87" s="87">
        <v>128</v>
      </c>
      <c r="F87" s="88">
        <v>0.8</v>
      </c>
      <c r="G87" s="24"/>
      <c r="H87" s="87">
        <v>50</v>
      </c>
      <c r="I87" s="22">
        <v>1</v>
      </c>
      <c r="J87" s="98">
        <v>21</v>
      </c>
      <c r="K87" s="98">
        <v>3.4</v>
      </c>
      <c r="L87" s="99">
        <f t="shared" si="4"/>
        <v>24.4</v>
      </c>
      <c r="M87" s="445">
        <v>0.56999999999999995</v>
      </c>
      <c r="N87" s="445">
        <f t="shared" si="6"/>
        <v>19.448399999999996</v>
      </c>
    </row>
    <row r="88" spans="1:14" ht="21" customHeight="1">
      <c r="A88" s="22"/>
      <c r="B88" s="22"/>
      <c r="C88" s="22">
        <v>67</v>
      </c>
      <c r="D88" s="86" t="s">
        <v>556</v>
      </c>
      <c r="E88" s="87">
        <v>140</v>
      </c>
      <c r="F88" s="88">
        <v>0.9</v>
      </c>
      <c r="G88" s="24"/>
      <c r="H88" s="87">
        <v>50</v>
      </c>
      <c r="I88" s="22">
        <v>1</v>
      </c>
      <c r="J88" s="98">
        <v>22.5</v>
      </c>
      <c r="K88" s="98">
        <v>3.7</v>
      </c>
      <c r="L88" s="99">
        <f t="shared" si="4"/>
        <v>26.2</v>
      </c>
      <c r="M88" s="445">
        <v>0.56999999999999995</v>
      </c>
      <c r="N88" s="445">
        <f t="shared" si="6"/>
        <v>19.448399999999996</v>
      </c>
    </row>
    <row r="89" spans="1:14" ht="21" customHeight="1">
      <c r="A89" s="22"/>
      <c r="B89" s="22"/>
      <c r="C89" s="22">
        <v>68</v>
      </c>
      <c r="D89" s="86" t="s">
        <v>557</v>
      </c>
      <c r="E89" s="87">
        <v>92</v>
      </c>
      <c r="F89" s="88">
        <v>0.4</v>
      </c>
      <c r="G89" s="24"/>
      <c r="H89" s="87">
        <v>50</v>
      </c>
      <c r="I89" s="22">
        <v>1</v>
      </c>
      <c r="J89" s="98">
        <v>15</v>
      </c>
      <c r="K89" s="98">
        <v>2.2000000000000002</v>
      </c>
      <c r="L89" s="99">
        <f t="shared" si="4"/>
        <v>17.2</v>
      </c>
      <c r="M89" s="445">
        <v>0.56999999999999995</v>
      </c>
      <c r="N89" s="445">
        <f t="shared" si="6"/>
        <v>19.448399999999996</v>
      </c>
    </row>
    <row r="90" spans="1:14" ht="21" customHeight="1">
      <c r="A90" s="22"/>
      <c r="B90" s="22"/>
      <c r="C90" s="22">
        <v>69</v>
      </c>
      <c r="D90" s="86" t="s">
        <v>558</v>
      </c>
      <c r="E90" s="87">
        <v>60</v>
      </c>
      <c r="F90" s="88">
        <v>0.5</v>
      </c>
      <c r="G90" s="24"/>
      <c r="H90" s="87">
        <v>50</v>
      </c>
      <c r="I90" s="22">
        <v>1</v>
      </c>
      <c r="J90" s="98">
        <v>16.5</v>
      </c>
      <c r="K90" s="98">
        <v>2.5</v>
      </c>
      <c r="L90" s="99">
        <f t="shared" si="4"/>
        <v>19</v>
      </c>
      <c r="M90" s="445">
        <v>0.56999999999999995</v>
      </c>
      <c r="N90" s="445">
        <f t="shared" si="6"/>
        <v>19.448399999999996</v>
      </c>
    </row>
    <row r="91" spans="1:14" ht="21" customHeight="1">
      <c r="A91" s="22"/>
      <c r="B91" s="22"/>
      <c r="C91" s="22">
        <v>70</v>
      </c>
      <c r="D91" s="86" t="s">
        <v>559</v>
      </c>
      <c r="E91" s="87">
        <v>64</v>
      </c>
      <c r="F91" s="88">
        <v>0.6</v>
      </c>
      <c r="G91" s="24"/>
      <c r="H91" s="87">
        <v>50</v>
      </c>
      <c r="I91" s="22">
        <v>1</v>
      </c>
      <c r="J91" s="98">
        <v>18</v>
      </c>
      <c r="K91" s="98">
        <v>2.8</v>
      </c>
      <c r="L91" s="99">
        <f t="shared" si="4"/>
        <v>20.8</v>
      </c>
      <c r="M91" s="445">
        <v>0.56999999999999995</v>
      </c>
      <c r="N91" s="445">
        <f t="shared" si="6"/>
        <v>19.448399999999996</v>
      </c>
    </row>
    <row r="92" spans="1:14" ht="21" customHeight="1">
      <c r="A92" s="22"/>
      <c r="B92" s="22"/>
      <c r="C92" s="22">
        <v>71</v>
      </c>
      <c r="D92" s="86" t="s">
        <v>277</v>
      </c>
      <c r="E92" s="87">
        <v>179</v>
      </c>
      <c r="F92" s="88">
        <v>0.8</v>
      </c>
      <c r="G92" s="24"/>
      <c r="H92" s="87">
        <v>100</v>
      </c>
      <c r="I92" s="22">
        <v>1</v>
      </c>
      <c r="J92" s="98">
        <v>22</v>
      </c>
      <c r="K92" s="98">
        <v>3.4</v>
      </c>
      <c r="L92" s="99">
        <f t="shared" si="4"/>
        <v>25.4</v>
      </c>
      <c r="M92" s="445">
        <v>0.76</v>
      </c>
      <c r="N92" s="445">
        <f t="shared" si="6"/>
        <v>25.931199999999997</v>
      </c>
    </row>
    <row r="93" spans="1:14" ht="21" customHeight="1">
      <c r="A93" s="22"/>
      <c r="B93" s="22"/>
      <c r="C93" s="22">
        <v>72</v>
      </c>
      <c r="D93" s="86" t="s">
        <v>560</v>
      </c>
      <c r="E93" s="87">
        <v>55</v>
      </c>
      <c r="F93" s="88">
        <v>2</v>
      </c>
      <c r="G93" s="24"/>
      <c r="H93" s="87">
        <v>50</v>
      </c>
      <c r="I93" s="22">
        <v>1</v>
      </c>
      <c r="J93" s="98">
        <v>39</v>
      </c>
      <c r="K93" s="98">
        <v>7</v>
      </c>
      <c r="L93" s="99">
        <f t="shared" si="4"/>
        <v>46</v>
      </c>
      <c r="M93" s="445">
        <v>0.56999999999999995</v>
      </c>
      <c r="N93" s="445">
        <f t="shared" si="6"/>
        <v>19.448399999999996</v>
      </c>
    </row>
    <row r="94" spans="1:14" ht="21" customHeight="1">
      <c r="A94" s="22"/>
      <c r="B94" s="22"/>
      <c r="C94" s="22">
        <v>73</v>
      </c>
      <c r="D94" s="86" t="s">
        <v>561</v>
      </c>
      <c r="E94" s="87">
        <v>102</v>
      </c>
      <c r="F94" s="689">
        <v>1.2</v>
      </c>
      <c r="G94" s="24"/>
      <c r="H94" s="687">
        <v>160</v>
      </c>
      <c r="I94" s="690">
        <v>1</v>
      </c>
      <c r="J94" s="656">
        <v>29</v>
      </c>
      <c r="K94" s="656">
        <v>4.5999999999999996</v>
      </c>
      <c r="L94" s="685">
        <f>K94+J94</f>
        <v>33.6</v>
      </c>
      <c r="M94" s="744">
        <v>0.8</v>
      </c>
      <c r="N94" s="744">
        <f t="shared" si="6"/>
        <v>27.295999999999999</v>
      </c>
    </row>
    <row r="95" spans="1:14" ht="21" customHeight="1">
      <c r="A95" s="22"/>
      <c r="B95" s="22"/>
      <c r="C95" s="22">
        <v>74</v>
      </c>
      <c r="D95" s="86" t="s">
        <v>562</v>
      </c>
      <c r="E95" s="87">
        <v>37</v>
      </c>
      <c r="F95" s="689"/>
      <c r="G95" s="24"/>
      <c r="H95" s="687"/>
      <c r="I95" s="690"/>
      <c r="J95" s="656"/>
      <c r="K95" s="656"/>
      <c r="L95" s="685"/>
      <c r="M95" s="744"/>
      <c r="N95" s="744"/>
    </row>
    <row r="96" spans="1:14" ht="21" customHeight="1">
      <c r="A96" s="22"/>
      <c r="B96" s="22"/>
      <c r="C96" s="22">
        <v>75</v>
      </c>
      <c r="D96" s="86" t="s">
        <v>563</v>
      </c>
      <c r="E96" s="87">
        <v>54</v>
      </c>
      <c r="F96" s="88">
        <v>0.8</v>
      </c>
      <c r="G96" s="24"/>
      <c r="H96" s="87">
        <v>50</v>
      </c>
      <c r="I96" s="22">
        <v>1</v>
      </c>
      <c r="J96" s="98">
        <v>21</v>
      </c>
      <c r="K96" s="98">
        <v>3.4</v>
      </c>
      <c r="L96" s="99">
        <f>K96+J96</f>
        <v>24.4</v>
      </c>
      <c r="M96" s="445">
        <v>0.56999999999999995</v>
      </c>
      <c r="N96" s="445">
        <f t="shared" si="6"/>
        <v>19.448399999999996</v>
      </c>
    </row>
    <row r="97" spans="1:14" ht="21" customHeight="1">
      <c r="A97" s="29"/>
      <c r="B97" s="29"/>
      <c r="C97" s="29">
        <v>76</v>
      </c>
      <c r="D97" s="91" t="s">
        <v>564</v>
      </c>
      <c r="E97" s="92">
        <v>65</v>
      </c>
      <c r="F97" s="93">
        <v>0.8</v>
      </c>
      <c r="G97" s="31"/>
      <c r="H97" s="92">
        <v>50</v>
      </c>
      <c r="I97" s="29">
        <v>1</v>
      </c>
      <c r="J97" s="324">
        <v>21</v>
      </c>
      <c r="K97" s="324">
        <v>3.4</v>
      </c>
      <c r="L97" s="93">
        <f>K97+J97</f>
        <v>24.4</v>
      </c>
      <c r="M97" s="446">
        <v>0.56999999999999995</v>
      </c>
      <c r="N97" s="446">
        <f t="shared" si="6"/>
        <v>19.448399999999996</v>
      </c>
    </row>
    <row r="98" spans="1:14">
      <c r="A98" s="750" t="s">
        <v>504</v>
      </c>
      <c r="B98" s="750"/>
      <c r="C98" s="750"/>
      <c r="D98" s="750"/>
      <c r="E98" s="750"/>
      <c r="F98" s="750"/>
      <c r="G98" s="750"/>
      <c r="H98" s="750"/>
      <c r="I98" s="750"/>
      <c r="J98" s="750"/>
      <c r="K98" s="750"/>
      <c r="L98" s="750"/>
    </row>
    <row r="99" spans="1:14">
      <c r="A99" s="319"/>
      <c r="B99" s="320"/>
      <c r="C99" s="320"/>
      <c r="D99" s="320"/>
      <c r="E99" s="320"/>
      <c r="F99" s="321"/>
      <c r="G99" s="321"/>
      <c r="H99" s="750"/>
      <c r="I99" s="750"/>
      <c r="J99" s="750"/>
    </row>
    <row r="100" spans="1:14" s="5" customFormat="1" ht="27.75" customHeight="1">
      <c r="A100" s="654" t="s">
        <v>1</v>
      </c>
      <c r="B100" s="632" t="s">
        <v>755</v>
      </c>
      <c r="C100" s="646" t="s">
        <v>21</v>
      </c>
      <c r="D100" s="647"/>
      <c r="E100" s="652" t="s">
        <v>756</v>
      </c>
      <c r="F100" s="654" t="s">
        <v>3</v>
      </c>
      <c r="G100" s="654"/>
      <c r="H100" s="654"/>
      <c r="I100" s="654"/>
      <c r="J100" s="654" t="s">
        <v>761</v>
      </c>
      <c r="K100" s="654"/>
      <c r="L100" s="654"/>
      <c r="M100" s="746" t="s">
        <v>752</v>
      </c>
      <c r="N100" s="747"/>
    </row>
    <row r="101" spans="1:14" s="5" customFormat="1" ht="40.5" customHeight="1">
      <c r="A101" s="654"/>
      <c r="B101" s="633"/>
      <c r="C101" s="648"/>
      <c r="D101" s="649"/>
      <c r="E101" s="652"/>
      <c r="F101" s="652" t="s">
        <v>757</v>
      </c>
      <c r="G101" s="652" t="s">
        <v>5</v>
      </c>
      <c r="H101" s="652" t="s">
        <v>6</v>
      </c>
      <c r="I101" s="652"/>
      <c r="J101" s="652" t="s">
        <v>22</v>
      </c>
      <c r="K101" s="652" t="s">
        <v>762</v>
      </c>
      <c r="L101" s="654" t="s">
        <v>8</v>
      </c>
      <c r="M101" s="748"/>
      <c r="N101" s="749"/>
    </row>
    <row r="102" spans="1:14" s="5" customFormat="1" ht="58.5" customHeight="1">
      <c r="A102" s="632"/>
      <c r="B102" s="634"/>
      <c r="C102" s="650"/>
      <c r="D102" s="651"/>
      <c r="E102" s="653"/>
      <c r="F102" s="653"/>
      <c r="G102" s="653"/>
      <c r="H102" s="381" t="s">
        <v>9</v>
      </c>
      <c r="I102" s="381" t="s">
        <v>10</v>
      </c>
      <c r="J102" s="653"/>
      <c r="K102" s="632"/>
      <c r="L102" s="632"/>
      <c r="M102" s="439" t="s">
        <v>753</v>
      </c>
      <c r="N102" s="440" t="s">
        <v>754</v>
      </c>
    </row>
    <row r="103" spans="1:14" ht="28.5" customHeight="1">
      <c r="A103" s="15"/>
      <c r="B103" s="35" t="s">
        <v>19</v>
      </c>
      <c r="C103" s="15">
        <v>77</v>
      </c>
      <c r="D103" s="81" t="s">
        <v>565</v>
      </c>
      <c r="E103" s="82">
        <v>56</v>
      </c>
      <c r="F103" s="688">
        <v>0.7</v>
      </c>
      <c r="G103" s="18"/>
      <c r="H103" s="686">
        <v>160</v>
      </c>
      <c r="I103" s="664">
        <v>1</v>
      </c>
      <c r="J103" s="655">
        <v>21.5</v>
      </c>
      <c r="K103" s="655">
        <v>3.1</v>
      </c>
      <c r="L103" s="684">
        <f>K103+J103</f>
        <v>24.6</v>
      </c>
      <c r="M103" s="753">
        <v>0.8</v>
      </c>
      <c r="N103" s="753">
        <f t="shared" ref="N103" si="7">M103*34.12</f>
        <v>27.295999999999999</v>
      </c>
    </row>
    <row r="104" spans="1:14" ht="28.5" customHeight="1">
      <c r="A104" s="29"/>
      <c r="B104" s="54" t="s">
        <v>838</v>
      </c>
      <c r="C104" s="29">
        <v>78</v>
      </c>
      <c r="D104" s="91" t="s">
        <v>566</v>
      </c>
      <c r="E104" s="92">
        <v>122</v>
      </c>
      <c r="F104" s="754"/>
      <c r="G104" s="31"/>
      <c r="H104" s="751"/>
      <c r="I104" s="735"/>
      <c r="J104" s="738"/>
      <c r="K104" s="738"/>
      <c r="L104" s="752"/>
      <c r="M104" s="745"/>
      <c r="N104" s="745"/>
    </row>
    <row r="105" spans="1:14" s="11" customFormat="1" ht="28.5" customHeight="1">
      <c r="A105" s="64"/>
      <c r="B105" s="64" t="s">
        <v>759</v>
      </c>
      <c r="C105" s="64"/>
      <c r="D105" s="65" t="s">
        <v>827</v>
      </c>
      <c r="E105" s="311">
        <f>SUM(E6:E104)</f>
        <v>7436</v>
      </c>
      <c r="F105" s="312">
        <f>SUM(F6:F104)</f>
        <v>55.469999999999978</v>
      </c>
      <c r="G105" s="313"/>
      <c r="H105" s="311">
        <f>SUM(H6:H104)</f>
        <v>5620</v>
      </c>
      <c r="I105" s="188">
        <f>SUM(I6:I104)</f>
        <v>74</v>
      </c>
      <c r="J105" s="314">
        <f>SUM(J6:J104)</f>
        <v>1533.55</v>
      </c>
      <c r="K105" s="314">
        <f>SUM(K6:K104)</f>
        <v>240.40999999999997</v>
      </c>
      <c r="L105" s="314">
        <f>SUM(L6:L104)</f>
        <v>1773.9600000000005</v>
      </c>
      <c r="M105" s="449">
        <f t="shared" ref="M105:N105" si="8">SUM(M6:M104)</f>
        <v>47.739999999999995</v>
      </c>
      <c r="N105" s="449">
        <f t="shared" si="8"/>
        <v>1628.8887999999997</v>
      </c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</sheetData>
  <mergeCells count="108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J4:J5"/>
    <mergeCell ref="K4:K5"/>
    <mergeCell ref="L4:L5"/>
    <mergeCell ref="F8:F9"/>
    <mergeCell ref="G8:G9"/>
    <mergeCell ref="H8:H9"/>
    <mergeCell ref="I8:I9"/>
    <mergeCell ref="J8:J9"/>
    <mergeCell ref="K8:K9"/>
    <mergeCell ref="L8:L9"/>
    <mergeCell ref="J28:J29"/>
    <mergeCell ref="K28:K29"/>
    <mergeCell ref="L28:L29"/>
    <mergeCell ref="F33:F34"/>
    <mergeCell ref="H33:H34"/>
    <mergeCell ref="I33:I34"/>
    <mergeCell ref="J33:J34"/>
    <mergeCell ref="K33:K34"/>
    <mergeCell ref="A25:L25"/>
    <mergeCell ref="H26:J26"/>
    <mergeCell ref="A27:A29"/>
    <mergeCell ref="E27:E29"/>
    <mergeCell ref="F27:I27"/>
    <mergeCell ref="J27:L27"/>
    <mergeCell ref="F28:F29"/>
    <mergeCell ref="G28:G29"/>
    <mergeCell ref="H28:I28"/>
    <mergeCell ref="F76:I76"/>
    <mergeCell ref="J76:L76"/>
    <mergeCell ref="A49:L49"/>
    <mergeCell ref="H50:J50"/>
    <mergeCell ref="A51:A53"/>
    <mergeCell ref="E51:E53"/>
    <mergeCell ref="F51:I51"/>
    <mergeCell ref="J51:L51"/>
    <mergeCell ref="F52:F53"/>
    <mergeCell ref="G52:G53"/>
    <mergeCell ref="H52:I52"/>
    <mergeCell ref="A100:A102"/>
    <mergeCell ref="E100:E102"/>
    <mergeCell ref="F100:I100"/>
    <mergeCell ref="J100:L100"/>
    <mergeCell ref="F101:F102"/>
    <mergeCell ref="G101:G102"/>
    <mergeCell ref="H101:I101"/>
    <mergeCell ref="F94:F95"/>
    <mergeCell ref="H94:H95"/>
    <mergeCell ref="I94:I95"/>
    <mergeCell ref="J94:J95"/>
    <mergeCell ref="K94:K95"/>
    <mergeCell ref="L94:L95"/>
    <mergeCell ref="M103:M104"/>
    <mergeCell ref="N103:N104"/>
    <mergeCell ref="M94:M95"/>
    <mergeCell ref="N94:N95"/>
    <mergeCell ref="B3:B5"/>
    <mergeCell ref="C3:D5"/>
    <mergeCell ref="M3:N4"/>
    <mergeCell ref="L33:L34"/>
    <mergeCell ref="B27:B29"/>
    <mergeCell ref="C27:D29"/>
    <mergeCell ref="M27:N28"/>
    <mergeCell ref="B51:B53"/>
    <mergeCell ref="C51:D53"/>
    <mergeCell ref="J101:J102"/>
    <mergeCell ref="K101:K102"/>
    <mergeCell ref="L101:L102"/>
    <mergeCell ref="F103:F104"/>
    <mergeCell ref="H103:H104"/>
    <mergeCell ref="I103:I104"/>
    <mergeCell ref="J103:J104"/>
    <mergeCell ref="K103:K104"/>
    <mergeCell ref="L103:L104"/>
    <mergeCell ref="A98:L98"/>
    <mergeCell ref="H99:J99"/>
    <mergeCell ref="M33:M34"/>
    <mergeCell ref="N33:N34"/>
    <mergeCell ref="M8:M9"/>
    <mergeCell ref="N8:N9"/>
    <mergeCell ref="B100:B102"/>
    <mergeCell ref="C100:D102"/>
    <mergeCell ref="M100:N101"/>
    <mergeCell ref="M51:N52"/>
    <mergeCell ref="B76:B78"/>
    <mergeCell ref="C76:D78"/>
    <mergeCell ref="M76:N77"/>
    <mergeCell ref="F77:F78"/>
    <mergeCell ref="G77:G78"/>
    <mergeCell ref="H77:I77"/>
    <mergeCell ref="J77:J78"/>
    <mergeCell ref="K77:K78"/>
    <mergeCell ref="L77:L78"/>
    <mergeCell ref="J52:J53"/>
    <mergeCell ref="K52:K53"/>
    <mergeCell ref="L52:L53"/>
    <mergeCell ref="A74:L74"/>
    <mergeCell ref="H75:J75"/>
    <mergeCell ref="A76:A78"/>
    <mergeCell ref="E76:E78"/>
  </mergeCells>
  <pageMargins left="0.25" right="0" top="0.25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Total_Project List</vt:lpstr>
      <vt:lpstr>Total_Electric Field List</vt:lpstr>
      <vt:lpstr>to be present </vt:lpstr>
      <vt:lpstr>TDY</vt:lpstr>
      <vt:lpstr>LPD</vt:lpstr>
      <vt:lpstr>MIL</vt:lpstr>
      <vt:lpstr>MNO</vt:lpstr>
      <vt:lpstr>OKP</vt:lpstr>
      <vt:lpstr>GBK</vt:lpstr>
      <vt:lpstr>ZGN</vt:lpstr>
      <vt:lpstr>NAT</vt:lpstr>
      <vt:lpstr>PYAY</vt:lpstr>
      <vt:lpstr>Sheet12</vt:lpstr>
      <vt:lpstr>Sheet2</vt:lpstr>
      <vt:lpstr>TOTAL MATERIALS</vt:lpstr>
      <vt:lpstr>TOTAL MATERIALS (2)</vt:lpstr>
      <vt:lpstr>Sheet12!Print_Titles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2015-10-12T13:21:09Z</cp:lastPrinted>
  <dcterms:created xsi:type="dcterms:W3CDTF">2015-09-18T06:07:09Z</dcterms:created>
  <dcterms:modified xsi:type="dcterms:W3CDTF">2015-10-20T03:47:50Z</dcterms:modified>
</cp:coreProperties>
</file>